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istics\School libraries\2021-22\Final\"/>
    </mc:Choice>
  </mc:AlternateContent>
  <xr:revisionPtr revIDLastSave="0" documentId="13_ncr:1_{DBAE3A7C-CA45-4973-A8A6-7C1F2E005968}" xr6:coauthVersionLast="36" xr6:coauthVersionMax="36" xr10:uidLastSave="{00000000-0000-0000-0000-000000000000}"/>
  <bookViews>
    <workbookView xWindow="360" yWindow="1035" windowWidth="19440" windowHeight="11190" firstSheet="2" activeTab="4" xr2:uid="{00000000-000D-0000-FFFF-FFFF00000000}"/>
  </bookViews>
  <sheets>
    <sheet name="Libraries" sheetId="12" r:id="rId1"/>
    <sheet name="Staffing" sheetId="13" r:id="rId2"/>
    <sheet name="Expenditures" sheetId="14" r:id="rId3"/>
    <sheet name="Collections" sheetId="15" r:id="rId4"/>
    <sheet name="Technology" sheetId="16" r:id="rId5"/>
    <sheet name="Scheduling" sheetId="17" r:id="rId6"/>
    <sheet name="Pro environment" sheetId="18" r:id="rId7"/>
    <sheet name="Policies" sheetId="19" r:id="rId8"/>
    <sheet name="Student use" sheetId="20" r:id="rId9"/>
  </sheets>
  <definedNames>
    <definedName name="OLE_LINK1" localSheetId="1">Staffing!#REF!</definedName>
  </definedNames>
  <calcPr calcId="191029"/>
</workbook>
</file>

<file path=xl/calcChain.xml><?xml version="1.0" encoding="utf-8"?>
<calcChain xmlns="http://schemas.openxmlformats.org/spreadsheetml/2006/main">
  <c r="N187" i="20" l="1"/>
  <c r="M187" i="20"/>
  <c r="L186" i="20"/>
  <c r="J186" i="20"/>
  <c r="I186" i="20"/>
  <c r="H186" i="20"/>
  <c r="G186" i="20"/>
  <c r="E186" i="20"/>
  <c r="D186" i="20"/>
  <c r="L185" i="20"/>
  <c r="J185" i="20"/>
  <c r="I185" i="20"/>
  <c r="H185" i="20"/>
  <c r="G185" i="20"/>
  <c r="E185" i="20"/>
  <c r="D185" i="20"/>
  <c r="L184" i="20"/>
  <c r="J184" i="20"/>
  <c r="K185" i="20" s="1"/>
  <c r="K12" i="20" s="1"/>
  <c r="I184" i="20"/>
  <c r="H184" i="20"/>
  <c r="G184" i="20"/>
  <c r="E184" i="20"/>
  <c r="F185" i="20" s="1"/>
  <c r="F12" i="20" s="1"/>
  <c r="D184" i="20"/>
  <c r="K183" i="20"/>
  <c r="F183" i="20"/>
  <c r="K182" i="20"/>
  <c r="F182" i="20"/>
  <c r="K181" i="20"/>
  <c r="F181" i="20"/>
  <c r="K180" i="20"/>
  <c r="F180" i="20"/>
  <c r="K179" i="20"/>
  <c r="F179" i="20"/>
  <c r="K178" i="20"/>
  <c r="F178" i="20"/>
  <c r="K177" i="20"/>
  <c r="K176" i="20"/>
  <c r="F176" i="20"/>
  <c r="K175" i="20"/>
  <c r="F175" i="20"/>
  <c r="K174" i="20"/>
  <c r="K173" i="20"/>
  <c r="F173" i="20"/>
  <c r="K172" i="20"/>
  <c r="F172" i="20"/>
  <c r="K171" i="20"/>
  <c r="F171" i="20"/>
  <c r="K170" i="20"/>
  <c r="F170" i="20"/>
  <c r="K169" i="20"/>
  <c r="F169" i="20"/>
  <c r="K168" i="20"/>
  <c r="F168" i="20"/>
  <c r="K167" i="20"/>
  <c r="F167" i="20"/>
  <c r="K166" i="20"/>
  <c r="F166" i="20"/>
  <c r="K165" i="20"/>
  <c r="F165" i="20"/>
  <c r="K164" i="20"/>
  <c r="F164" i="20"/>
  <c r="K163" i="20"/>
  <c r="F163" i="20"/>
  <c r="K162" i="20"/>
  <c r="F162" i="20"/>
  <c r="K161" i="20"/>
  <c r="F161" i="20"/>
  <c r="K160" i="20"/>
  <c r="F160" i="20"/>
  <c r="K159" i="20"/>
  <c r="F159" i="20"/>
  <c r="K158" i="20"/>
  <c r="F158" i="20"/>
  <c r="K157" i="20"/>
  <c r="F157" i="20"/>
  <c r="K156" i="20"/>
  <c r="F156" i="20"/>
  <c r="K155" i="20"/>
  <c r="F155" i="20"/>
  <c r="K154" i="20"/>
  <c r="F154" i="20"/>
  <c r="K153" i="20"/>
  <c r="F153" i="20"/>
  <c r="K152" i="20"/>
  <c r="K151" i="20"/>
  <c r="F151" i="20"/>
  <c r="F150" i="20"/>
  <c r="K149" i="20"/>
  <c r="K148" i="20"/>
  <c r="F148" i="20"/>
  <c r="K146" i="20"/>
  <c r="F146" i="20"/>
  <c r="K145" i="20"/>
  <c r="F145" i="20"/>
  <c r="K144" i="20"/>
  <c r="F144" i="20"/>
  <c r="K143" i="20"/>
  <c r="F143" i="20"/>
  <c r="K142" i="20"/>
  <c r="F142" i="20"/>
  <c r="K141" i="20"/>
  <c r="K140" i="20"/>
  <c r="F140" i="20"/>
  <c r="K139" i="20"/>
  <c r="F139" i="20"/>
  <c r="K138" i="20"/>
  <c r="F138" i="20"/>
  <c r="K137" i="20"/>
  <c r="K136" i="20"/>
  <c r="K134" i="20"/>
  <c r="F134" i="20"/>
  <c r="K133" i="20"/>
  <c r="F133" i="20"/>
  <c r="K132" i="20"/>
  <c r="F132" i="20"/>
  <c r="K131" i="20"/>
  <c r="F131" i="20"/>
  <c r="K130" i="20"/>
  <c r="K129" i="20"/>
  <c r="F129" i="20"/>
  <c r="K128" i="20"/>
  <c r="F128" i="20"/>
  <c r="K127" i="20"/>
  <c r="F127" i="20"/>
  <c r="K126" i="20"/>
  <c r="F126" i="20"/>
  <c r="K125" i="20"/>
  <c r="F125" i="20"/>
  <c r="K124" i="20"/>
  <c r="F124" i="20"/>
  <c r="K123" i="20"/>
  <c r="F123" i="20"/>
  <c r="K122" i="20"/>
  <c r="K186" i="20" s="1"/>
  <c r="F122" i="20"/>
  <c r="F186" i="20" s="1"/>
  <c r="N116" i="20"/>
  <c r="M116" i="20"/>
  <c r="L115" i="20"/>
  <c r="I115" i="20"/>
  <c r="H115" i="20"/>
  <c r="G115" i="20"/>
  <c r="E115" i="20"/>
  <c r="D115" i="20"/>
  <c r="L114" i="20"/>
  <c r="I114" i="20"/>
  <c r="H114" i="20"/>
  <c r="G114" i="20"/>
  <c r="E114" i="20"/>
  <c r="D114" i="20"/>
  <c r="L113" i="20"/>
  <c r="I113" i="20"/>
  <c r="H113" i="20"/>
  <c r="G113" i="20"/>
  <c r="E113" i="20"/>
  <c r="F114" i="20" s="1"/>
  <c r="F11" i="20" s="1"/>
  <c r="D113" i="20"/>
  <c r="J111" i="20"/>
  <c r="K111" i="20" s="1"/>
  <c r="F111" i="20"/>
  <c r="J110" i="20"/>
  <c r="K110" i="20" s="1"/>
  <c r="K109" i="20"/>
  <c r="J109" i="20"/>
  <c r="F109" i="20"/>
  <c r="J108" i="20"/>
  <c r="K108" i="20" s="1"/>
  <c r="F108" i="20"/>
  <c r="J107" i="20"/>
  <c r="K107" i="20" s="1"/>
  <c r="F107" i="20"/>
  <c r="F115" i="20" s="1"/>
  <c r="J106" i="20"/>
  <c r="K106" i="20" s="1"/>
  <c r="K115" i="20" s="1"/>
  <c r="F106" i="20"/>
  <c r="N100" i="20"/>
  <c r="M100" i="20"/>
  <c r="L99" i="20"/>
  <c r="J99" i="20"/>
  <c r="I99" i="20"/>
  <c r="H99" i="20"/>
  <c r="G99" i="20"/>
  <c r="E99" i="20"/>
  <c r="D99" i="20"/>
  <c r="L98" i="20"/>
  <c r="K98" i="20"/>
  <c r="K10" i="20" s="1"/>
  <c r="J98" i="20"/>
  <c r="I98" i="20"/>
  <c r="H98" i="20"/>
  <c r="G98" i="20"/>
  <c r="E98" i="20"/>
  <c r="D98" i="20"/>
  <c r="L97" i="20"/>
  <c r="J97" i="20"/>
  <c r="I97" i="20"/>
  <c r="H97" i="20"/>
  <c r="G97" i="20"/>
  <c r="E97" i="20"/>
  <c r="F98" i="20" s="1"/>
  <c r="F10" i="20" s="1"/>
  <c r="D97" i="20"/>
  <c r="K96" i="20"/>
  <c r="F96" i="20"/>
  <c r="K95" i="20"/>
  <c r="F95" i="20"/>
  <c r="K94" i="20"/>
  <c r="F94" i="20"/>
  <c r="K93" i="20"/>
  <c r="F93" i="20"/>
  <c r="F92" i="20"/>
  <c r="K91" i="20"/>
  <c r="F91" i="20"/>
  <c r="K90" i="20"/>
  <c r="F90" i="20"/>
  <c r="K89" i="20"/>
  <c r="F89" i="20"/>
  <c r="K88" i="20"/>
  <c r="F88" i="20"/>
  <c r="K87" i="20"/>
  <c r="F87" i="20"/>
  <c r="K86" i="20"/>
  <c r="F86" i="20"/>
  <c r="K85" i="20"/>
  <c r="F85" i="20"/>
  <c r="K84" i="20"/>
  <c r="F84" i="20"/>
  <c r="F99" i="20" s="1"/>
  <c r="K83" i="20"/>
  <c r="K99" i="20" s="1"/>
  <c r="F83" i="20"/>
  <c r="N77" i="20"/>
  <c r="M77" i="20"/>
  <c r="L76" i="20"/>
  <c r="J76" i="20"/>
  <c r="I76" i="20"/>
  <c r="H76" i="20"/>
  <c r="G76" i="20"/>
  <c r="E76" i="20"/>
  <c r="D76" i="20"/>
  <c r="L75" i="20"/>
  <c r="J75" i="20"/>
  <c r="I75" i="20"/>
  <c r="H75" i="20"/>
  <c r="G75" i="20"/>
  <c r="E75" i="20"/>
  <c r="D75" i="20"/>
  <c r="L74" i="20"/>
  <c r="J74" i="20"/>
  <c r="K75" i="20" s="1"/>
  <c r="K9" i="20" s="1"/>
  <c r="I74" i="20"/>
  <c r="H74" i="20"/>
  <c r="G74" i="20"/>
  <c r="E74" i="20"/>
  <c r="F75" i="20" s="1"/>
  <c r="F9" i="20" s="1"/>
  <c r="D74" i="20"/>
  <c r="K73" i="20"/>
  <c r="F73" i="20"/>
  <c r="K72" i="20"/>
  <c r="K76" i="20" s="1"/>
  <c r="F72" i="20"/>
  <c r="K71" i="20"/>
  <c r="F71" i="20"/>
  <c r="F76" i="20" s="1"/>
  <c r="K70" i="20"/>
  <c r="F70" i="20"/>
  <c r="N64" i="20"/>
  <c r="M64" i="20"/>
  <c r="L63" i="20"/>
  <c r="J63" i="20"/>
  <c r="I63" i="20"/>
  <c r="H63" i="20"/>
  <c r="G63" i="20"/>
  <c r="E63" i="20"/>
  <c r="D63" i="20"/>
  <c r="L62" i="20"/>
  <c r="L8" i="20" s="1"/>
  <c r="J62" i="20"/>
  <c r="I62" i="20"/>
  <c r="H62" i="20"/>
  <c r="G62" i="20"/>
  <c r="E62" i="20"/>
  <c r="D62" i="20"/>
  <c r="L61" i="20"/>
  <c r="J61" i="20"/>
  <c r="K62" i="20" s="1"/>
  <c r="K8" i="20" s="1"/>
  <c r="I61" i="20"/>
  <c r="H61" i="20"/>
  <c r="G61" i="20"/>
  <c r="E61" i="20"/>
  <c r="F62" i="20" s="1"/>
  <c r="F8" i="20" s="1"/>
  <c r="D61" i="20"/>
  <c r="K60" i="20"/>
  <c r="K63" i="20" s="1"/>
  <c r="F60" i="20"/>
  <c r="K59" i="20"/>
  <c r="K58" i="20"/>
  <c r="K57" i="20"/>
  <c r="K56" i="20"/>
  <c r="K55" i="20"/>
  <c r="F55" i="20"/>
  <c r="F63" i="20" s="1"/>
  <c r="N49" i="20"/>
  <c r="N7" i="20" s="1"/>
  <c r="M49" i="20"/>
  <c r="L48" i="20"/>
  <c r="J48" i="20"/>
  <c r="I48" i="20"/>
  <c r="H48" i="20"/>
  <c r="G48" i="20"/>
  <c r="E48" i="20"/>
  <c r="D48" i="20"/>
  <c r="L47" i="20"/>
  <c r="J47" i="20"/>
  <c r="I47" i="20"/>
  <c r="H47" i="20"/>
  <c r="G47" i="20"/>
  <c r="G7" i="20" s="1"/>
  <c r="E47" i="20"/>
  <c r="D47" i="20"/>
  <c r="L46" i="20"/>
  <c r="L14" i="20" s="1"/>
  <c r="L13" i="20" s="1"/>
  <c r="J46" i="20"/>
  <c r="I46" i="20"/>
  <c r="H46" i="20"/>
  <c r="H14" i="20" s="1"/>
  <c r="H13" i="20" s="1"/>
  <c r="G46" i="20"/>
  <c r="G14" i="20" s="1"/>
  <c r="G13" i="20" s="1"/>
  <c r="E46" i="20"/>
  <c r="F47" i="20" s="1"/>
  <c r="F7" i="20" s="1"/>
  <c r="D46" i="20"/>
  <c r="K47" i="20" s="1"/>
  <c r="K7" i="20" s="1"/>
  <c r="K45" i="20"/>
  <c r="K44" i="20"/>
  <c r="F44" i="20"/>
  <c r="K42" i="20"/>
  <c r="F42" i="20"/>
  <c r="K40" i="20"/>
  <c r="F40" i="20"/>
  <c r="K39" i="20"/>
  <c r="F39" i="20"/>
  <c r="K37" i="20"/>
  <c r="F37" i="20"/>
  <c r="K36" i="20"/>
  <c r="K35" i="20"/>
  <c r="F35" i="20"/>
  <c r="F48" i="20" s="1"/>
  <c r="K34" i="20"/>
  <c r="K33" i="20"/>
  <c r="F33" i="20"/>
  <c r="K32" i="20"/>
  <c r="F32" i="20"/>
  <c r="K31" i="20"/>
  <c r="F31" i="20"/>
  <c r="K30" i="20"/>
  <c r="F30" i="20"/>
  <c r="K29" i="20"/>
  <c r="F29" i="20"/>
  <c r="K28" i="20"/>
  <c r="F28" i="20"/>
  <c r="K27" i="20"/>
  <c r="F27" i="20"/>
  <c r="K26" i="20"/>
  <c r="F26" i="20"/>
  <c r="K25" i="20"/>
  <c r="K48" i="20" s="1"/>
  <c r="F25" i="20"/>
  <c r="N19" i="20"/>
  <c r="M19" i="20"/>
  <c r="L19" i="20"/>
  <c r="K19" i="20"/>
  <c r="J19" i="20"/>
  <c r="I19" i="20"/>
  <c r="H19" i="20"/>
  <c r="G19" i="20"/>
  <c r="F19" i="20"/>
  <c r="E19" i="20"/>
  <c r="E13" i="20" s="1"/>
  <c r="I14" i="20"/>
  <c r="E14" i="20"/>
  <c r="N13" i="20"/>
  <c r="M13" i="20"/>
  <c r="I13" i="20"/>
  <c r="N12" i="20"/>
  <c r="M12" i="20"/>
  <c r="L12" i="20"/>
  <c r="J12" i="20"/>
  <c r="I12" i="20"/>
  <c r="H12" i="20"/>
  <c r="G12" i="20"/>
  <c r="E12" i="20"/>
  <c r="N11" i="20"/>
  <c r="M11" i="20"/>
  <c r="L11" i="20"/>
  <c r="I11" i="20"/>
  <c r="H11" i="20"/>
  <c r="G11" i="20"/>
  <c r="E11" i="20"/>
  <c r="N10" i="20"/>
  <c r="M10" i="20"/>
  <c r="L10" i="20"/>
  <c r="J10" i="20"/>
  <c r="I10" i="20"/>
  <c r="H10" i="20"/>
  <c r="G10" i="20"/>
  <c r="E10" i="20"/>
  <c r="N9" i="20"/>
  <c r="M9" i="20"/>
  <c r="L9" i="20"/>
  <c r="J9" i="20"/>
  <c r="I9" i="20"/>
  <c r="H9" i="20"/>
  <c r="G9" i="20"/>
  <c r="E9" i="20"/>
  <c r="N8" i="20"/>
  <c r="M8" i="20"/>
  <c r="J8" i="20"/>
  <c r="I8" i="20"/>
  <c r="H8" i="20"/>
  <c r="G8" i="20"/>
  <c r="E8" i="20"/>
  <c r="M7" i="20"/>
  <c r="L7" i="20"/>
  <c r="J7" i="20"/>
  <c r="I7" i="20"/>
  <c r="H7" i="20"/>
  <c r="E7" i="20"/>
  <c r="K185" i="19"/>
  <c r="K11" i="19" s="1"/>
  <c r="J185" i="19"/>
  <c r="I185" i="19"/>
  <c r="I11" i="19" s="1"/>
  <c r="H185" i="19"/>
  <c r="G185" i="19"/>
  <c r="F185" i="19"/>
  <c r="E185" i="19"/>
  <c r="D184" i="19"/>
  <c r="D183" i="19"/>
  <c r="D182" i="19"/>
  <c r="K114" i="19"/>
  <c r="J114" i="19"/>
  <c r="I114" i="19"/>
  <c r="H114" i="19"/>
  <c r="G114" i="19"/>
  <c r="F114" i="19"/>
  <c r="F10" i="19" s="1"/>
  <c r="E114" i="19"/>
  <c r="E10" i="19" s="1"/>
  <c r="D113" i="19"/>
  <c r="D112" i="19"/>
  <c r="D111" i="19"/>
  <c r="K98" i="19"/>
  <c r="J98" i="19"/>
  <c r="I98" i="19"/>
  <c r="H98" i="19"/>
  <c r="H9" i="19" s="1"/>
  <c r="G98" i="19"/>
  <c r="G9" i="19" s="1"/>
  <c r="F98" i="19"/>
  <c r="E98" i="19"/>
  <c r="D97" i="19"/>
  <c r="D96" i="19"/>
  <c r="D95" i="19"/>
  <c r="K75" i="19"/>
  <c r="J75" i="19"/>
  <c r="I75" i="19"/>
  <c r="H75" i="19"/>
  <c r="G75" i="19"/>
  <c r="F75" i="19"/>
  <c r="E75" i="19"/>
  <c r="D74" i="19"/>
  <c r="D73" i="19"/>
  <c r="D72" i="19"/>
  <c r="K62" i="19"/>
  <c r="K7" i="19" s="1"/>
  <c r="J62" i="19"/>
  <c r="I62" i="19"/>
  <c r="H62" i="19"/>
  <c r="G62" i="19"/>
  <c r="F62" i="19"/>
  <c r="E62" i="19"/>
  <c r="D61" i="19"/>
  <c r="D60" i="19"/>
  <c r="D59" i="19"/>
  <c r="K47" i="19"/>
  <c r="J47" i="19"/>
  <c r="I47" i="19"/>
  <c r="H47" i="19"/>
  <c r="G47" i="19"/>
  <c r="F47" i="19"/>
  <c r="F6" i="19" s="1"/>
  <c r="E47" i="19"/>
  <c r="E6" i="19" s="1"/>
  <c r="D46" i="19"/>
  <c r="D45" i="19"/>
  <c r="D44" i="19"/>
  <c r="K18" i="19"/>
  <c r="J18" i="19"/>
  <c r="I18" i="19"/>
  <c r="H18" i="19"/>
  <c r="H12" i="19" s="1"/>
  <c r="G18" i="19"/>
  <c r="F18" i="19"/>
  <c r="E18" i="19"/>
  <c r="K13" i="19"/>
  <c r="J13" i="19"/>
  <c r="J12" i="19" s="1"/>
  <c r="I13" i="19"/>
  <c r="H13" i="19"/>
  <c r="G13" i="19"/>
  <c r="G12" i="19" s="1"/>
  <c r="F13" i="19"/>
  <c r="E13" i="19"/>
  <c r="K12" i="19"/>
  <c r="I12" i="19"/>
  <c r="F12" i="19"/>
  <c r="E12" i="19"/>
  <c r="J11" i="19"/>
  <c r="H11" i="19"/>
  <c r="G11" i="19"/>
  <c r="F11" i="19"/>
  <c r="E11" i="19"/>
  <c r="K10" i="19"/>
  <c r="J10" i="19"/>
  <c r="I10" i="19"/>
  <c r="H10" i="19"/>
  <c r="G10" i="19"/>
  <c r="K9" i="19"/>
  <c r="J9" i="19"/>
  <c r="I9" i="19"/>
  <c r="F9" i="19"/>
  <c r="E9" i="19"/>
  <c r="K8" i="19"/>
  <c r="J8" i="19"/>
  <c r="I8" i="19"/>
  <c r="H8" i="19"/>
  <c r="G8" i="19"/>
  <c r="F8" i="19"/>
  <c r="E8" i="19"/>
  <c r="J7" i="19"/>
  <c r="I7" i="19"/>
  <c r="H7" i="19"/>
  <c r="G7" i="19"/>
  <c r="F7" i="19"/>
  <c r="E7" i="19"/>
  <c r="K6" i="19"/>
  <c r="J6" i="19"/>
  <c r="I6" i="19"/>
  <c r="H6" i="19"/>
  <c r="G6" i="19"/>
  <c r="L193" i="18"/>
  <c r="K193" i="18"/>
  <c r="J193" i="18"/>
  <c r="I193" i="18"/>
  <c r="H193" i="18"/>
  <c r="G193" i="18"/>
  <c r="F193" i="18"/>
  <c r="E193" i="18"/>
  <c r="D192" i="18"/>
  <c r="D191" i="18"/>
  <c r="D190" i="18"/>
  <c r="L121" i="18"/>
  <c r="K121" i="18"/>
  <c r="I12" i="18" s="1"/>
  <c r="J121" i="18"/>
  <c r="H12" i="18" s="1"/>
  <c r="I121" i="18"/>
  <c r="H121" i="18"/>
  <c r="G121" i="18"/>
  <c r="F121" i="18"/>
  <c r="E121" i="18"/>
  <c r="D120" i="18"/>
  <c r="D119" i="18"/>
  <c r="D118" i="18"/>
  <c r="L104" i="18"/>
  <c r="K104" i="18"/>
  <c r="J104" i="18"/>
  <c r="H11" i="18" s="1"/>
  <c r="I104" i="18"/>
  <c r="H104" i="18"/>
  <c r="G104" i="18"/>
  <c r="F104" i="18"/>
  <c r="D11" i="18" s="1"/>
  <c r="E104" i="18"/>
  <c r="D103" i="18"/>
  <c r="D102" i="18"/>
  <c r="D101" i="18"/>
  <c r="L80" i="18"/>
  <c r="K80" i="18"/>
  <c r="J80" i="18"/>
  <c r="I80" i="18"/>
  <c r="H80" i="18"/>
  <c r="G80" i="18"/>
  <c r="F80" i="18"/>
  <c r="E80" i="18"/>
  <c r="D78" i="18"/>
  <c r="D77" i="18"/>
  <c r="L66" i="18"/>
  <c r="K66" i="18"/>
  <c r="I9" i="18" s="1"/>
  <c r="J66" i="18"/>
  <c r="H9" i="18" s="1"/>
  <c r="I66" i="18"/>
  <c r="H66" i="18"/>
  <c r="G66" i="18"/>
  <c r="F66" i="18"/>
  <c r="E66" i="18"/>
  <c r="D65" i="18"/>
  <c r="D64" i="18"/>
  <c r="D63" i="18"/>
  <c r="L50" i="18"/>
  <c r="K50" i="18"/>
  <c r="J50" i="18"/>
  <c r="H8" i="18" s="1"/>
  <c r="I50" i="18"/>
  <c r="H50" i="18"/>
  <c r="G50" i="18"/>
  <c r="F50" i="18"/>
  <c r="D8" i="18" s="1"/>
  <c r="E50" i="18"/>
  <c r="D49" i="18"/>
  <c r="D48" i="18"/>
  <c r="D47" i="18"/>
  <c r="L20" i="18"/>
  <c r="K20" i="18"/>
  <c r="J20" i="18"/>
  <c r="I20" i="18"/>
  <c r="H20" i="18"/>
  <c r="G20" i="18"/>
  <c r="F20" i="18"/>
  <c r="E20" i="18"/>
  <c r="J15" i="18"/>
  <c r="I15" i="18"/>
  <c r="H15" i="18"/>
  <c r="G15" i="18"/>
  <c r="F15" i="18"/>
  <c r="E15" i="18"/>
  <c r="D15" i="18"/>
  <c r="C15" i="18"/>
  <c r="J14" i="18"/>
  <c r="I14" i="18"/>
  <c r="H14" i="18"/>
  <c r="G14" i="18"/>
  <c r="F14" i="18"/>
  <c r="E14" i="18"/>
  <c r="D14" i="18"/>
  <c r="C14" i="18"/>
  <c r="J13" i="18"/>
  <c r="I13" i="18"/>
  <c r="H13" i="18"/>
  <c r="G13" i="18"/>
  <c r="F13" i="18"/>
  <c r="E13" i="18"/>
  <c r="D13" i="18"/>
  <c r="C13" i="18"/>
  <c r="J12" i="18"/>
  <c r="G12" i="18"/>
  <c r="F12" i="18"/>
  <c r="E12" i="18"/>
  <c r="D12" i="18"/>
  <c r="C12" i="18"/>
  <c r="J11" i="18"/>
  <c r="I11" i="18"/>
  <c r="G11" i="18"/>
  <c r="F11" i="18"/>
  <c r="E11" i="18"/>
  <c r="C11" i="18"/>
  <c r="J10" i="18"/>
  <c r="I10" i="18"/>
  <c r="H10" i="18"/>
  <c r="G10" i="18"/>
  <c r="F10" i="18"/>
  <c r="E10" i="18"/>
  <c r="D10" i="18"/>
  <c r="C10" i="18"/>
  <c r="J9" i="18"/>
  <c r="G9" i="18"/>
  <c r="F9" i="18"/>
  <c r="E9" i="18"/>
  <c r="D9" i="18"/>
  <c r="C9" i="18"/>
  <c r="J8" i="18"/>
  <c r="I8" i="18"/>
  <c r="G8" i="18"/>
  <c r="F8" i="18"/>
  <c r="E8" i="18"/>
  <c r="C8" i="18"/>
  <c r="G193" i="17"/>
  <c r="F193" i="17"/>
  <c r="E193" i="17"/>
  <c r="H192" i="17"/>
  <c r="D192" i="17"/>
  <c r="H191" i="17"/>
  <c r="D191" i="17"/>
  <c r="H190" i="17"/>
  <c r="D190" i="17"/>
  <c r="G121" i="17"/>
  <c r="F121" i="17"/>
  <c r="E121" i="17"/>
  <c r="E11" i="17" s="1"/>
  <c r="H120" i="17"/>
  <c r="D120" i="17"/>
  <c r="H119" i="17"/>
  <c r="D119" i="17"/>
  <c r="H118" i="17"/>
  <c r="D118" i="17"/>
  <c r="G104" i="17"/>
  <c r="F104" i="17"/>
  <c r="E104" i="17"/>
  <c r="H103" i="17"/>
  <c r="D103" i="17"/>
  <c r="H102" i="17"/>
  <c r="D102" i="17"/>
  <c r="H101" i="17"/>
  <c r="D101" i="17"/>
  <c r="G80" i="17"/>
  <c r="G9" i="17" s="1"/>
  <c r="F80" i="17"/>
  <c r="F9" i="17" s="1"/>
  <c r="E80" i="17"/>
  <c r="H79" i="17"/>
  <c r="D79" i="17"/>
  <c r="H78" i="17"/>
  <c r="D78" i="17"/>
  <c r="H77" i="17"/>
  <c r="D77" i="17"/>
  <c r="G66" i="17"/>
  <c r="G8" i="17" s="1"/>
  <c r="F66" i="17"/>
  <c r="E66" i="17"/>
  <c r="H65" i="17"/>
  <c r="D65" i="17"/>
  <c r="H64" i="17"/>
  <c r="D64" i="17"/>
  <c r="H63" i="17"/>
  <c r="D63" i="17"/>
  <c r="G50" i="17"/>
  <c r="F50" i="17"/>
  <c r="E50" i="17"/>
  <c r="H49" i="17"/>
  <c r="D49" i="17"/>
  <c r="H48" i="17"/>
  <c r="D48" i="17"/>
  <c r="H47" i="17"/>
  <c r="D47" i="17"/>
  <c r="H20" i="17"/>
  <c r="G20" i="17"/>
  <c r="F20" i="17"/>
  <c r="E20" i="17"/>
  <c r="D20" i="17"/>
  <c r="G14" i="17"/>
  <c r="G13" i="17" s="1"/>
  <c r="F14" i="17"/>
  <c r="F13" i="17" s="1"/>
  <c r="E14" i="17"/>
  <c r="E13" i="17" s="1"/>
  <c r="H12" i="17"/>
  <c r="G12" i="17"/>
  <c r="F12" i="17"/>
  <c r="E12" i="17"/>
  <c r="H11" i="17"/>
  <c r="G11" i="17"/>
  <c r="F11" i="17"/>
  <c r="H10" i="17"/>
  <c r="G10" i="17"/>
  <c r="F10" i="17"/>
  <c r="E10" i="17"/>
  <c r="H9" i="17"/>
  <c r="E9" i="17"/>
  <c r="H8" i="17"/>
  <c r="F8" i="17"/>
  <c r="E8" i="17"/>
  <c r="H7" i="17"/>
  <c r="G7" i="17"/>
  <c r="F7" i="17"/>
  <c r="E7" i="17"/>
  <c r="N193" i="16"/>
  <c r="M193" i="16"/>
  <c r="L193" i="16"/>
  <c r="K193" i="16"/>
  <c r="J193" i="16"/>
  <c r="I193" i="16"/>
  <c r="H193" i="16"/>
  <c r="G193" i="16"/>
  <c r="E192" i="16"/>
  <c r="D192" i="16"/>
  <c r="E191" i="16"/>
  <c r="D191" i="16"/>
  <c r="E190" i="16"/>
  <c r="D190" i="16"/>
  <c r="F189" i="16"/>
  <c r="F188" i="16"/>
  <c r="F187" i="16"/>
  <c r="F182" i="16"/>
  <c r="F179" i="16"/>
  <c r="F178" i="16"/>
  <c r="F177" i="16"/>
  <c r="F172" i="16"/>
  <c r="F171" i="16"/>
  <c r="F168" i="16"/>
  <c r="F166" i="16"/>
  <c r="F163" i="16"/>
  <c r="F160" i="16"/>
  <c r="F157" i="16"/>
  <c r="F154" i="16"/>
  <c r="F150" i="16"/>
  <c r="F145" i="16"/>
  <c r="F142" i="16"/>
  <c r="F140" i="16"/>
  <c r="F139" i="16"/>
  <c r="F138" i="16"/>
  <c r="F137" i="16"/>
  <c r="F135" i="16"/>
  <c r="F134" i="16"/>
  <c r="F133" i="16"/>
  <c r="F132" i="16"/>
  <c r="F128" i="16"/>
  <c r="F192" i="16" s="1"/>
  <c r="E12" i="16" s="1"/>
  <c r="N121" i="16"/>
  <c r="M11" i="16" s="1"/>
  <c r="M121" i="16"/>
  <c r="L121" i="16"/>
  <c r="K121" i="16"/>
  <c r="J121" i="16"/>
  <c r="I121" i="16"/>
  <c r="H121" i="16"/>
  <c r="G121" i="16"/>
  <c r="E120" i="16"/>
  <c r="D120" i="16"/>
  <c r="E119" i="16"/>
  <c r="D119" i="16"/>
  <c r="E118" i="16"/>
  <c r="D118" i="16"/>
  <c r="F115" i="16"/>
  <c r="F120" i="16" s="1"/>
  <c r="E11" i="16" s="1"/>
  <c r="F112" i="16"/>
  <c r="F111" i="16"/>
  <c r="F119" i="16" s="1"/>
  <c r="N104" i="16"/>
  <c r="M104" i="16"/>
  <c r="L104" i="16"/>
  <c r="K104" i="16"/>
  <c r="J104" i="16"/>
  <c r="I104" i="16"/>
  <c r="H10" i="16" s="1"/>
  <c r="H104" i="16"/>
  <c r="G104" i="16"/>
  <c r="E103" i="16"/>
  <c r="E102" i="16"/>
  <c r="D102" i="16"/>
  <c r="E101" i="16"/>
  <c r="D101" i="16"/>
  <c r="F100" i="16"/>
  <c r="F95" i="16"/>
  <c r="F94" i="16"/>
  <c r="F93" i="16"/>
  <c r="F92" i="16"/>
  <c r="F90" i="16"/>
  <c r="F88" i="16"/>
  <c r="F87" i="16"/>
  <c r="F103" i="16" s="1"/>
  <c r="E10" i="16" s="1"/>
  <c r="N80" i="16"/>
  <c r="M80" i="16"/>
  <c r="L80" i="16"/>
  <c r="K80" i="16"/>
  <c r="J80" i="16"/>
  <c r="H80" i="16"/>
  <c r="G80" i="16"/>
  <c r="E79" i="16"/>
  <c r="E78" i="16"/>
  <c r="D78" i="16"/>
  <c r="E77" i="16"/>
  <c r="D77" i="16"/>
  <c r="F76" i="16"/>
  <c r="F75" i="16"/>
  <c r="F79" i="16" s="1"/>
  <c r="E9" i="16" s="1"/>
  <c r="F74" i="16"/>
  <c r="F73" i="16"/>
  <c r="F78" i="16" s="1"/>
  <c r="N66" i="16"/>
  <c r="M66" i="16"/>
  <c r="L66" i="16"/>
  <c r="K66" i="16"/>
  <c r="J66" i="16"/>
  <c r="I8" i="16" s="1"/>
  <c r="I66" i="16"/>
  <c r="H66" i="16"/>
  <c r="G66" i="16"/>
  <c r="E65" i="16"/>
  <c r="D65" i="16"/>
  <c r="E64" i="16"/>
  <c r="D8" i="16" s="1"/>
  <c r="D64" i="16"/>
  <c r="E63" i="16"/>
  <c r="D63" i="16"/>
  <c r="F62" i="16"/>
  <c r="F60" i="16"/>
  <c r="F59" i="16"/>
  <c r="F58" i="16"/>
  <c r="F57" i="16"/>
  <c r="F64" i="16" s="1"/>
  <c r="N50" i="16"/>
  <c r="M50" i="16"/>
  <c r="L50" i="16"/>
  <c r="K50" i="16"/>
  <c r="J50" i="16"/>
  <c r="I50" i="16"/>
  <c r="H50" i="16"/>
  <c r="G50" i="16"/>
  <c r="F7" i="16" s="1"/>
  <c r="E49" i="16"/>
  <c r="D49" i="16"/>
  <c r="E48" i="16"/>
  <c r="D48" i="16"/>
  <c r="E47" i="16"/>
  <c r="D47" i="16"/>
  <c r="F43" i="16"/>
  <c r="F39" i="16"/>
  <c r="F38" i="16"/>
  <c r="F36" i="16"/>
  <c r="F35" i="16"/>
  <c r="F34" i="16"/>
  <c r="F33" i="16"/>
  <c r="F32" i="16"/>
  <c r="E13" i="16" s="1"/>
  <c r="F31" i="16"/>
  <c r="F49" i="16" s="1"/>
  <c r="E7" i="16" s="1"/>
  <c r="F29" i="16"/>
  <c r="F28" i="16"/>
  <c r="F27" i="16"/>
  <c r="F26" i="16"/>
  <c r="F48" i="16" s="1"/>
  <c r="N20" i="16"/>
  <c r="M20" i="16"/>
  <c r="L20" i="16"/>
  <c r="K20" i="16"/>
  <c r="J13" i="16" s="1"/>
  <c r="J20" i="16"/>
  <c r="I13" i="16" s="1"/>
  <c r="I20" i="16"/>
  <c r="H13" i="16" s="1"/>
  <c r="H20" i="16"/>
  <c r="G20" i="16"/>
  <c r="F20" i="16"/>
  <c r="E20" i="16"/>
  <c r="D20" i="16"/>
  <c r="M15" i="16"/>
  <c r="L15" i="16"/>
  <c r="K15" i="16"/>
  <c r="I15" i="16"/>
  <c r="H15" i="16"/>
  <c r="G15" i="16"/>
  <c r="F15" i="16"/>
  <c r="D14" i="16"/>
  <c r="D13" i="16" s="1"/>
  <c r="M13" i="16"/>
  <c r="L13" i="16"/>
  <c r="K13" i="16"/>
  <c r="G13" i="16"/>
  <c r="F13" i="16"/>
  <c r="M12" i="16"/>
  <c r="L12" i="16"/>
  <c r="K12" i="16"/>
  <c r="J12" i="16"/>
  <c r="I12" i="16"/>
  <c r="H12" i="16"/>
  <c r="G12" i="16"/>
  <c r="F12" i="16"/>
  <c r="D12" i="16"/>
  <c r="L11" i="16"/>
  <c r="K11" i="16"/>
  <c r="J11" i="16"/>
  <c r="I11" i="16"/>
  <c r="H11" i="16"/>
  <c r="G11" i="16"/>
  <c r="F11" i="16"/>
  <c r="D11" i="16"/>
  <c r="M10" i="16"/>
  <c r="L10" i="16"/>
  <c r="K10" i="16"/>
  <c r="J10" i="16"/>
  <c r="I10" i="16"/>
  <c r="G10" i="16"/>
  <c r="F10" i="16"/>
  <c r="D10" i="16"/>
  <c r="M9" i="16"/>
  <c r="L9" i="16"/>
  <c r="K9" i="16"/>
  <c r="J9" i="16"/>
  <c r="I9" i="16"/>
  <c r="H9" i="16"/>
  <c r="G9" i="16"/>
  <c r="F9" i="16"/>
  <c r="D9" i="16"/>
  <c r="M8" i="16"/>
  <c r="L8" i="16"/>
  <c r="K8" i="16"/>
  <c r="J8" i="16"/>
  <c r="H8" i="16"/>
  <c r="G8" i="16"/>
  <c r="F8" i="16"/>
  <c r="M7" i="16"/>
  <c r="L7" i="16"/>
  <c r="K7" i="16"/>
  <c r="J7" i="16"/>
  <c r="I7" i="16"/>
  <c r="H7" i="16"/>
  <c r="G7" i="16"/>
  <c r="D7" i="16"/>
  <c r="I186" i="15"/>
  <c r="H186" i="15"/>
  <c r="G186" i="15"/>
  <c r="E186" i="15"/>
  <c r="D186" i="15"/>
  <c r="I185" i="15"/>
  <c r="H185" i="15"/>
  <c r="G185" i="15"/>
  <c r="E185" i="15"/>
  <c r="D12" i="15" s="1"/>
  <c r="D185" i="15"/>
  <c r="H184" i="15"/>
  <c r="G184" i="15"/>
  <c r="E184" i="15"/>
  <c r="D184" i="15"/>
  <c r="J183" i="15"/>
  <c r="F183" i="15"/>
  <c r="J182" i="15"/>
  <c r="F182" i="15"/>
  <c r="J181" i="15"/>
  <c r="F181" i="15"/>
  <c r="J180" i="15"/>
  <c r="F180" i="15"/>
  <c r="J179" i="15"/>
  <c r="F179" i="15"/>
  <c r="J178" i="15"/>
  <c r="F178" i="15"/>
  <c r="J177" i="15"/>
  <c r="J176" i="15"/>
  <c r="F176" i="15"/>
  <c r="J175" i="15"/>
  <c r="F175" i="15"/>
  <c r="J174" i="15"/>
  <c r="F174" i="15"/>
  <c r="F173" i="15"/>
  <c r="F172" i="15"/>
  <c r="F171" i="15"/>
  <c r="J170" i="15"/>
  <c r="F170" i="15"/>
  <c r="J169" i="15"/>
  <c r="F169" i="15"/>
  <c r="J168" i="15"/>
  <c r="F168" i="15"/>
  <c r="J167" i="15"/>
  <c r="F167" i="15"/>
  <c r="J166" i="15"/>
  <c r="F166" i="15"/>
  <c r="J165" i="15"/>
  <c r="F165" i="15"/>
  <c r="J164" i="15"/>
  <c r="F164" i="15"/>
  <c r="J163" i="15"/>
  <c r="F163" i="15"/>
  <c r="J162" i="15"/>
  <c r="F162" i="15"/>
  <c r="J161" i="15"/>
  <c r="F161" i="15"/>
  <c r="J160" i="15"/>
  <c r="F160" i="15"/>
  <c r="J159" i="15"/>
  <c r="F159" i="15"/>
  <c r="J158" i="15"/>
  <c r="F158" i="15"/>
  <c r="J157" i="15"/>
  <c r="F157" i="15"/>
  <c r="J156" i="15"/>
  <c r="F156" i="15"/>
  <c r="F155" i="15"/>
  <c r="J154" i="15"/>
  <c r="F154" i="15"/>
  <c r="J153" i="15"/>
  <c r="F153" i="15"/>
  <c r="F151" i="15"/>
  <c r="J148" i="15"/>
  <c r="F148" i="15"/>
  <c r="J146" i="15"/>
  <c r="F146" i="15"/>
  <c r="J145" i="15"/>
  <c r="F145" i="15"/>
  <c r="J144" i="15"/>
  <c r="F144" i="15"/>
  <c r="J143" i="15"/>
  <c r="F143" i="15"/>
  <c r="J142" i="15"/>
  <c r="F142" i="15"/>
  <c r="F141" i="15"/>
  <c r="J139" i="15"/>
  <c r="F139" i="15"/>
  <c r="J137" i="15"/>
  <c r="F137" i="15"/>
  <c r="J136" i="15"/>
  <c r="F136" i="15"/>
  <c r="J135" i="15"/>
  <c r="F135" i="15"/>
  <c r="J134" i="15"/>
  <c r="F134" i="15"/>
  <c r="J133" i="15"/>
  <c r="F133" i="15"/>
  <c r="F186" i="15" s="1"/>
  <c r="J132" i="15"/>
  <c r="F132" i="15"/>
  <c r="F131" i="15"/>
  <c r="J129" i="15"/>
  <c r="F129" i="15"/>
  <c r="J128" i="15"/>
  <c r="F128" i="15"/>
  <c r="J127" i="15"/>
  <c r="F127" i="15"/>
  <c r="J126" i="15"/>
  <c r="F126" i="15"/>
  <c r="J125" i="15"/>
  <c r="F125" i="15"/>
  <c r="J124" i="15"/>
  <c r="F124" i="15"/>
  <c r="J123" i="15"/>
  <c r="F123" i="15"/>
  <c r="J122" i="15"/>
  <c r="J186" i="15" s="1"/>
  <c r="I12" i="15" s="1"/>
  <c r="F122" i="15"/>
  <c r="F185" i="15" s="1"/>
  <c r="E12" i="15" s="1"/>
  <c r="I115" i="15"/>
  <c r="H115" i="15"/>
  <c r="G115" i="15"/>
  <c r="E115" i="15"/>
  <c r="D115" i="15"/>
  <c r="I114" i="15"/>
  <c r="H114" i="15"/>
  <c r="G11" i="15" s="1"/>
  <c r="G114" i="15"/>
  <c r="E114" i="15"/>
  <c r="D11" i="15" s="1"/>
  <c r="D114" i="15"/>
  <c r="H113" i="15"/>
  <c r="G113" i="15"/>
  <c r="E113" i="15"/>
  <c r="D113" i="15"/>
  <c r="J111" i="15"/>
  <c r="F111" i="15"/>
  <c r="F110" i="15"/>
  <c r="F115" i="15" s="1"/>
  <c r="J109" i="15"/>
  <c r="F109" i="15"/>
  <c r="J107" i="15"/>
  <c r="F107" i="15"/>
  <c r="J106" i="15"/>
  <c r="J115" i="15" s="1"/>
  <c r="I11" i="15" s="1"/>
  <c r="F106" i="15"/>
  <c r="F114" i="15" s="1"/>
  <c r="E11" i="15" s="1"/>
  <c r="I99" i="15"/>
  <c r="H10" i="15" s="1"/>
  <c r="H99" i="15"/>
  <c r="G99" i="15"/>
  <c r="E99" i="15"/>
  <c r="I98" i="15"/>
  <c r="H98" i="15"/>
  <c r="G98" i="15"/>
  <c r="F10" i="15" s="1"/>
  <c r="E98" i="15"/>
  <c r="D98" i="15"/>
  <c r="H97" i="15"/>
  <c r="G97" i="15"/>
  <c r="E97" i="15"/>
  <c r="D97" i="15"/>
  <c r="J96" i="15"/>
  <c r="F96" i="15"/>
  <c r="J95" i="15"/>
  <c r="F95" i="15"/>
  <c r="J94" i="15"/>
  <c r="F94" i="15"/>
  <c r="J93" i="15"/>
  <c r="F93" i="15"/>
  <c r="J91" i="15"/>
  <c r="F91" i="15"/>
  <c r="J90" i="15"/>
  <c r="F90" i="15"/>
  <c r="J89" i="15"/>
  <c r="F89" i="15"/>
  <c r="J88" i="15"/>
  <c r="F88" i="15"/>
  <c r="F87" i="15"/>
  <c r="J86" i="15"/>
  <c r="F86" i="15"/>
  <c r="J85" i="15"/>
  <c r="F85" i="15"/>
  <c r="J84" i="15"/>
  <c r="J98" i="15" s="1"/>
  <c r="F84" i="15"/>
  <c r="J83" i="15"/>
  <c r="J99" i="15" s="1"/>
  <c r="I10" i="15" s="1"/>
  <c r="F83" i="15"/>
  <c r="F98" i="15" s="1"/>
  <c r="E10" i="15" s="1"/>
  <c r="I76" i="15"/>
  <c r="H76" i="15"/>
  <c r="G76" i="15"/>
  <c r="E76" i="15"/>
  <c r="D76" i="15"/>
  <c r="J75" i="15"/>
  <c r="I75" i="15"/>
  <c r="H75" i="15"/>
  <c r="G75" i="15"/>
  <c r="E75" i="15"/>
  <c r="D75" i="15"/>
  <c r="H74" i="15"/>
  <c r="G74" i="15"/>
  <c r="E74" i="15"/>
  <c r="D74" i="15"/>
  <c r="J73" i="15"/>
  <c r="F73" i="15"/>
  <c r="J72" i="15"/>
  <c r="F72" i="15"/>
  <c r="J71" i="15"/>
  <c r="F71" i="15"/>
  <c r="F76" i="15" s="1"/>
  <c r="J70" i="15"/>
  <c r="J76" i="15" s="1"/>
  <c r="I9" i="15" s="1"/>
  <c r="F70" i="15"/>
  <c r="F75" i="15" s="1"/>
  <c r="E9" i="15" s="1"/>
  <c r="I63" i="15"/>
  <c r="H63" i="15"/>
  <c r="G63" i="15"/>
  <c r="E63" i="15"/>
  <c r="D63" i="15"/>
  <c r="I62" i="15"/>
  <c r="H62" i="15"/>
  <c r="G62" i="15"/>
  <c r="E62" i="15"/>
  <c r="D62" i="15"/>
  <c r="H61" i="15"/>
  <c r="G61" i="15"/>
  <c r="E61" i="15"/>
  <c r="D61" i="15"/>
  <c r="J60" i="15"/>
  <c r="F60" i="15"/>
  <c r="J58" i="15"/>
  <c r="F58" i="15"/>
  <c r="J56" i="15"/>
  <c r="J62" i="15" s="1"/>
  <c r="F56" i="15"/>
  <c r="F62" i="15" s="1"/>
  <c r="E8" i="15" s="1"/>
  <c r="J55" i="15"/>
  <c r="J63" i="15" s="1"/>
  <c r="I8" i="15" s="1"/>
  <c r="F55" i="15"/>
  <c r="F63" i="15" s="1"/>
  <c r="I48" i="15"/>
  <c r="H48" i="15"/>
  <c r="G48" i="15"/>
  <c r="E48" i="15"/>
  <c r="D48" i="15"/>
  <c r="I47" i="15"/>
  <c r="H47" i="15"/>
  <c r="G47" i="15"/>
  <c r="E47" i="15"/>
  <c r="D47" i="15"/>
  <c r="H46" i="15"/>
  <c r="G46" i="15"/>
  <c r="E46" i="15"/>
  <c r="C7" i="15" s="1"/>
  <c r="C13" i="15" s="1"/>
  <c r="D46" i="15"/>
  <c r="J44" i="15"/>
  <c r="F44" i="15"/>
  <c r="F43" i="15"/>
  <c r="F42" i="15"/>
  <c r="J40" i="15"/>
  <c r="F40" i="15"/>
  <c r="F39" i="15"/>
  <c r="F38" i="15"/>
  <c r="J37" i="15"/>
  <c r="F37" i="15"/>
  <c r="J35" i="15"/>
  <c r="F35" i="15"/>
  <c r="J34" i="15"/>
  <c r="F34" i="15"/>
  <c r="J33" i="15"/>
  <c r="F33" i="15"/>
  <c r="J32" i="15"/>
  <c r="F32" i="15"/>
  <c r="J31" i="15"/>
  <c r="F31" i="15"/>
  <c r="J29" i="15"/>
  <c r="F29" i="15"/>
  <c r="J28" i="15"/>
  <c r="J48" i="15" s="1"/>
  <c r="F28" i="15"/>
  <c r="J27" i="15"/>
  <c r="F27" i="15"/>
  <c r="F47" i="15" s="1"/>
  <c r="E7" i="15" s="1"/>
  <c r="J26" i="15"/>
  <c r="I13" i="15" s="1"/>
  <c r="F26" i="15"/>
  <c r="F48" i="15" s="1"/>
  <c r="J25" i="15"/>
  <c r="J47" i="15" s="1"/>
  <c r="F25" i="15"/>
  <c r="J18" i="15"/>
  <c r="I18" i="15"/>
  <c r="H18" i="15"/>
  <c r="G18" i="15"/>
  <c r="F18" i="15"/>
  <c r="E18" i="15"/>
  <c r="H13" i="15"/>
  <c r="H12" i="15"/>
  <c r="G12" i="15"/>
  <c r="F12" i="15"/>
  <c r="C12" i="15"/>
  <c r="H11" i="15"/>
  <c r="F11" i="15"/>
  <c r="C11" i="15"/>
  <c r="G10" i="15"/>
  <c r="D10" i="15"/>
  <c r="C10" i="15"/>
  <c r="H9" i="15"/>
  <c r="G9" i="15"/>
  <c r="F9" i="15"/>
  <c r="D9" i="15"/>
  <c r="C9" i="15"/>
  <c r="H8" i="15"/>
  <c r="G8" i="15"/>
  <c r="F8" i="15"/>
  <c r="D8" i="15"/>
  <c r="C8" i="15"/>
  <c r="H7" i="15"/>
  <c r="G7" i="15"/>
  <c r="F7" i="15"/>
  <c r="D7" i="15"/>
  <c r="L192" i="14"/>
  <c r="K192" i="14"/>
  <c r="K13" i="14" s="1"/>
  <c r="J192" i="14"/>
  <c r="G191" i="14"/>
  <c r="F191" i="14"/>
  <c r="E191" i="14"/>
  <c r="D191" i="14"/>
  <c r="G190" i="14"/>
  <c r="F190" i="14"/>
  <c r="E190" i="14"/>
  <c r="D190" i="14"/>
  <c r="G189" i="14"/>
  <c r="F189" i="14"/>
  <c r="E189" i="14"/>
  <c r="D189" i="14"/>
  <c r="I188" i="14"/>
  <c r="H188" i="14"/>
  <c r="I187" i="14"/>
  <c r="H187" i="14"/>
  <c r="I186" i="14"/>
  <c r="H186" i="14"/>
  <c r="I185" i="14"/>
  <c r="H185" i="14"/>
  <c r="I184" i="14"/>
  <c r="H184" i="14"/>
  <c r="I183" i="14"/>
  <c r="H183" i="14"/>
  <c r="I182" i="14"/>
  <c r="H182" i="14"/>
  <c r="I181" i="14"/>
  <c r="H181" i="14"/>
  <c r="I180" i="14"/>
  <c r="H180" i="14"/>
  <c r="I179" i="14"/>
  <c r="H179" i="14"/>
  <c r="I178" i="14"/>
  <c r="H178" i="14"/>
  <c r="I177" i="14"/>
  <c r="H177" i="14"/>
  <c r="I176" i="14"/>
  <c r="H176" i="14"/>
  <c r="I175" i="14"/>
  <c r="H175" i="14"/>
  <c r="I174" i="14"/>
  <c r="H174" i="14"/>
  <c r="I173" i="14"/>
  <c r="H173" i="14"/>
  <c r="I172" i="14"/>
  <c r="H172" i="14"/>
  <c r="I171" i="14"/>
  <c r="H171" i="14"/>
  <c r="I170" i="14"/>
  <c r="H170" i="14"/>
  <c r="I169" i="14"/>
  <c r="H169" i="14"/>
  <c r="I168" i="14"/>
  <c r="H168" i="14"/>
  <c r="I167" i="14"/>
  <c r="H167" i="14"/>
  <c r="I166" i="14"/>
  <c r="H166" i="14"/>
  <c r="I165" i="14"/>
  <c r="H165" i="14"/>
  <c r="I164" i="14"/>
  <c r="H164" i="14"/>
  <c r="I163" i="14"/>
  <c r="H163" i="14"/>
  <c r="I162" i="14"/>
  <c r="H162" i="14"/>
  <c r="I161" i="14"/>
  <c r="H161" i="14"/>
  <c r="I160" i="14"/>
  <c r="H160" i="14"/>
  <c r="I159" i="14"/>
  <c r="H159" i="14"/>
  <c r="I158" i="14"/>
  <c r="H158" i="14"/>
  <c r="I157" i="14"/>
  <c r="H157" i="14"/>
  <c r="I156" i="14"/>
  <c r="H156" i="14"/>
  <c r="I153" i="14"/>
  <c r="H153" i="14"/>
  <c r="I151" i="14"/>
  <c r="H151" i="14"/>
  <c r="I150" i="14"/>
  <c r="H150" i="14"/>
  <c r="I148" i="14"/>
  <c r="H148" i="14"/>
  <c r="I147" i="14"/>
  <c r="H147" i="14"/>
  <c r="I145" i="14"/>
  <c r="H145" i="14"/>
  <c r="I144" i="14"/>
  <c r="H144" i="14"/>
  <c r="I142" i="14"/>
  <c r="H142" i="14"/>
  <c r="I141" i="14"/>
  <c r="H141" i="14"/>
  <c r="I140" i="14"/>
  <c r="H140" i="14"/>
  <c r="I139" i="14"/>
  <c r="H139" i="14"/>
  <c r="I138" i="14"/>
  <c r="H138" i="14"/>
  <c r="I137" i="14"/>
  <c r="H137" i="14"/>
  <c r="I136" i="14"/>
  <c r="H136" i="14"/>
  <c r="I134" i="14"/>
  <c r="H134" i="14"/>
  <c r="I133" i="14"/>
  <c r="H133" i="14"/>
  <c r="I132" i="14"/>
  <c r="H132" i="14"/>
  <c r="I131" i="14"/>
  <c r="H131" i="14"/>
  <c r="I130" i="14"/>
  <c r="I190" i="14" s="1"/>
  <c r="I13" i="14" s="1"/>
  <c r="H130" i="14"/>
  <c r="I129" i="14"/>
  <c r="H129" i="14"/>
  <c r="I128" i="14"/>
  <c r="H128" i="14"/>
  <c r="I127" i="14"/>
  <c r="I191" i="14" s="1"/>
  <c r="H127" i="14"/>
  <c r="H190" i="14" s="1"/>
  <c r="H13" i="14" s="1"/>
  <c r="L120" i="14"/>
  <c r="L12" i="14" s="1"/>
  <c r="K120" i="14"/>
  <c r="J120" i="14"/>
  <c r="G119" i="14"/>
  <c r="F119" i="14"/>
  <c r="E119" i="14"/>
  <c r="D119" i="14"/>
  <c r="G118" i="14"/>
  <c r="F118" i="14"/>
  <c r="F12" i="14" s="1"/>
  <c r="E118" i="14"/>
  <c r="D118" i="14"/>
  <c r="G117" i="14"/>
  <c r="F117" i="14"/>
  <c r="E117" i="14"/>
  <c r="D117" i="14"/>
  <c r="I115" i="14"/>
  <c r="H115" i="14"/>
  <c r="I114" i="14"/>
  <c r="H114" i="14"/>
  <c r="I113" i="14"/>
  <c r="H113" i="14"/>
  <c r="I111" i="14"/>
  <c r="H111" i="14"/>
  <c r="I110" i="14"/>
  <c r="I118" i="14" s="1"/>
  <c r="I12" i="14" s="1"/>
  <c r="H110" i="14"/>
  <c r="H119" i="14" s="1"/>
  <c r="K103" i="14"/>
  <c r="J103" i="14"/>
  <c r="G102" i="14"/>
  <c r="F102" i="14"/>
  <c r="E102" i="14"/>
  <c r="D102" i="14"/>
  <c r="G101" i="14"/>
  <c r="F101" i="14"/>
  <c r="F11" i="14" s="1"/>
  <c r="E101" i="14"/>
  <c r="D101" i="14"/>
  <c r="G100" i="14"/>
  <c r="F100" i="14"/>
  <c r="E100" i="14"/>
  <c r="D100" i="14"/>
  <c r="I99" i="14"/>
  <c r="H99" i="14"/>
  <c r="I98" i="14"/>
  <c r="H98" i="14"/>
  <c r="I97" i="14"/>
  <c r="H97" i="14"/>
  <c r="I96" i="14"/>
  <c r="H96" i="14"/>
  <c r="I94" i="14"/>
  <c r="H94" i="14"/>
  <c r="I93" i="14"/>
  <c r="H93" i="14"/>
  <c r="I92" i="14"/>
  <c r="H92" i="14"/>
  <c r="I91" i="14"/>
  <c r="H91" i="14"/>
  <c r="I90" i="14"/>
  <c r="H90" i="14"/>
  <c r="I89" i="14"/>
  <c r="H89" i="14"/>
  <c r="I88" i="14"/>
  <c r="H88" i="14"/>
  <c r="I87" i="14"/>
  <c r="I101" i="14" s="1"/>
  <c r="I11" i="14" s="1"/>
  <c r="H87" i="14"/>
  <c r="I86" i="14"/>
  <c r="I102" i="14" s="1"/>
  <c r="H86" i="14"/>
  <c r="H101" i="14" s="1"/>
  <c r="H11" i="14" s="1"/>
  <c r="K79" i="14"/>
  <c r="J79" i="14"/>
  <c r="G78" i="14"/>
  <c r="F78" i="14"/>
  <c r="E78" i="14"/>
  <c r="D78" i="14"/>
  <c r="G77" i="14"/>
  <c r="F77" i="14"/>
  <c r="F10" i="14" s="1"/>
  <c r="E77" i="14"/>
  <c r="D77" i="14"/>
  <c r="G76" i="14"/>
  <c r="F76" i="14"/>
  <c r="E76" i="14"/>
  <c r="D76" i="14"/>
  <c r="I75" i="14"/>
  <c r="H75" i="14"/>
  <c r="I74" i="14"/>
  <c r="H74" i="14"/>
  <c r="I73" i="14"/>
  <c r="H73" i="14"/>
  <c r="H78" i="14" s="1"/>
  <c r="I72" i="14"/>
  <c r="I77" i="14" s="1"/>
  <c r="I10" i="14" s="1"/>
  <c r="H72" i="14"/>
  <c r="H77" i="14" s="1"/>
  <c r="H10" i="14" s="1"/>
  <c r="L65" i="14"/>
  <c r="K65" i="14"/>
  <c r="K9" i="14" s="1"/>
  <c r="J65" i="14"/>
  <c r="G64" i="14"/>
  <c r="F64" i="14"/>
  <c r="E64" i="14"/>
  <c r="D64" i="14"/>
  <c r="G63" i="14"/>
  <c r="F63" i="14"/>
  <c r="E63" i="14"/>
  <c r="E9" i="14" s="1"/>
  <c r="D63" i="14"/>
  <c r="G62" i="14"/>
  <c r="F62" i="14"/>
  <c r="E62" i="14"/>
  <c r="D62" i="14"/>
  <c r="I61" i="14"/>
  <c r="H61" i="14"/>
  <c r="I60" i="14"/>
  <c r="H60" i="14"/>
  <c r="I59" i="14"/>
  <c r="H59" i="14"/>
  <c r="I58" i="14"/>
  <c r="H58" i="14"/>
  <c r="H63" i="14" s="1"/>
  <c r="H9" i="14" s="1"/>
  <c r="I57" i="14"/>
  <c r="H57" i="14"/>
  <c r="H64" i="14" s="1"/>
  <c r="I56" i="14"/>
  <c r="I63" i="14" s="1"/>
  <c r="I9" i="14" s="1"/>
  <c r="H56" i="14"/>
  <c r="L49" i="14"/>
  <c r="K49" i="14"/>
  <c r="J49" i="14"/>
  <c r="J8" i="14" s="1"/>
  <c r="G48" i="14"/>
  <c r="F48" i="14"/>
  <c r="E48" i="14"/>
  <c r="D48" i="14"/>
  <c r="G47" i="14"/>
  <c r="F47" i="14"/>
  <c r="E47" i="14"/>
  <c r="D47" i="14"/>
  <c r="G46" i="14"/>
  <c r="F46" i="14"/>
  <c r="E46" i="14"/>
  <c r="D46" i="14"/>
  <c r="I45" i="14"/>
  <c r="H45" i="14"/>
  <c r="I44" i="14"/>
  <c r="H44" i="14"/>
  <c r="I43" i="14"/>
  <c r="H43" i="14"/>
  <c r="I42" i="14"/>
  <c r="H42" i="14"/>
  <c r="I40" i="14"/>
  <c r="H40" i="14"/>
  <c r="I39" i="14"/>
  <c r="H39" i="14"/>
  <c r="I38" i="14"/>
  <c r="H38" i="14"/>
  <c r="I37" i="14"/>
  <c r="H37" i="14"/>
  <c r="I35" i="14"/>
  <c r="H35" i="14"/>
  <c r="I34" i="14"/>
  <c r="H34" i="14"/>
  <c r="I33" i="14"/>
  <c r="H33" i="14"/>
  <c r="I32" i="14"/>
  <c r="H32" i="14"/>
  <c r="I31" i="14"/>
  <c r="H31" i="14"/>
  <c r="I29" i="14"/>
  <c r="H29" i="14"/>
  <c r="I28" i="14"/>
  <c r="H28" i="14"/>
  <c r="I27" i="14"/>
  <c r="H27" i="14"/>
  <c r="I26" i="14"/>
  <c r="H26" i="14"/>
  <c r="I25" i="14"/>
  <c r="I48" i="14" s="1"/>
  <c r="H25" i="14"/>
  <c r="H47" i="14" s="1"/>
  <c r="H8" i="14" s="1"/>
  <c r="L19" i="14"/>
  <c r="K19" i="14"/>
  <c r="J19" i="14"/>
  <c r="I19" i="14"/>
  <c r="H19" i="14"/>
  <c r="G19" i="14"/>
  <c r="F19" i="14"/>
  <c r="E19" i="14"/>
  <c r="L13" i="14"/>
  <c r="J13" i="14"/>
  <c r="G13" i="14"/>
  <c r="F13" i="14"/>
  <c r="E13" i="14"/>
  <c r="C13" i="14"/>
  <c r="K12" i="14"/>
  <c r="J12" i="14"/>
  <c r="G12" i="14"/>
  <c r="E12" i="14"/>
  <c r="C12" i="14"/>
  <c r="L11" i="14"/>
  <c r="K11" i="14"/>
  <c r="J11" i="14"/>
  <c r="G11" i="14"/>
  <c r="E11" i="14"/>
  <c r="C11" i="14"/>
  <c r="L10" i="14"/>
  <c r="K10" i="14"/>
  <c r="J10" i="14"/>
  <c r="G10" i="14"/>
  <c r="E10" i="14"/>
  <c r="C10" i="14"/>
  <c r="L9" i="14"/>
  <c r="J9" i="14"/>
  <c r="G9" i="14"/>
  <c r="F9" i="14"/>
  <c r="C9" i="14"/>
  <c r="L8" i="14"/>
  <c r="K8" i="14"/>
  <c r="G8" i="14"/>
  <c r="F8" i="14"/>
  <c r="E8" i="14"/>
  <c r="C8" i="14"/>
  <c r="C14" i="14" s="1"/>
  <c r="I195" i="13"/>
  <c r="H195" i="13"/>
  <c r="G195" i="13"/>
  <c r="F195" i="13"/>
  <c r="D195" i="13"/>
  <c r="K194" i="13"/>
  <c r="J194" i="13"/>
  <c r="I194" i="13"/>
  <c r="H194" i="13"/>
  <c r="G194" i="13"/>
  <c r="F194" i="13"/>
  <c r="D194" i="13"/>
  <c r="I193" i="13"/>
  <c r="K16" i="13" s="1"/>
  <c r="H193" i="13"/>
  <c r="G193" i="13"/>
  <c r="F193" i="13"/>
  <c r="D193" i="13"/>
  <c r="K192" i="13"/>
  <c r="K191" i="13"/>
  <c r="J191" i="13"/>
  <c r="K190" i="13"/>
  <c r="J190" i="13"/>
  <c r="K189" i="13"/>
  <c r="J189" i="13"/>
  <c r="K188" i="13"/>
  <c r="J188" i="13"/>
  <c r="K187" i="13"/>
  <c r="J187" i="13"/>
  <c r="K186" i="13"/>
  <c r="J186" i="13"/>
  <c r="K185" i="13"/>
  <c r="J185" i="13"/>
  <c r="K184" i="13"/>
  <c r="K183" i="13"/>
  <c r="K182" i="13"/>
  <c r="K181" i="13"/>
  <c r="K180" i="13"/>
  <c r="K179" i="13"/>
  <c r="K176" i="13"/>
  <c r="J176" i="13"/>
  <c r="K175" i="13"/>
  <c r="J175" i="13"/>
  <c r="K174" i="13"/>
  <c r="J174" i="13"/>
  <c r="K173" i="13"/>
  <c r="J173" i="13"/>
  <c r="K172" i="13"/>
  <c r="J172" i="13"/>
  <c r="K171" i="13"/>
  <c r="K170" i="13"/>
  <c r="K169" i="13"/>
  <c r="K168" i="13"/>
  <c r="K167" i="13"/>
  <c r="K166" i="13"/>
  <c r="K165" i="13"/>
  <c r="K164" i="13"/>
  <c r="J164" i="13"/>
  <c r="K163" i="13"/>
  <c r="K162" i="13"/>
  <c r="K161" i="13"/>
  <c r="K160" i="13"/>
  <c r="K159" i="13"/>
  <c r="K158" i="13"/>
  <c r="K157" i="13"/>
  <c r="K156" i="13"/>
  <c r="K155" i="13"/>
  <c r="K154" i="13"/>
  <c r="K153" i="13"/>
  <c r="K152" i="13"/>
  <c r="K151" i="13"/>
  <c r="K148" i="13"/>
  <c r="J148" i="13"/>
  <c r="K147" i="13"/>
  <c r="J147" i="13"/>
  <c r="K143" i="13"/>
  <c r="K142" i="13"/>
  <c r="J142" i="13"/>
  <c r="K141" i="13"/>
  <c r="J141" i="13"/>
  <c r="K140" i="13"/>
  <c r="J140" i="13"/>
  <c r="K139" i="13"/>
  <c r="J139" i="13"/>
  <c r="K138" i="13"/>
  <c r="J138" i="13"/>
  <c r="K137" i="13"/>
  <c r="J137" i="13"/>
  <c r="K136" i="13"/>
  <c r="J136" i="13"/>
  <c r="K135" i="13"/>
  <c r="K134" i="13"/>
  <c r="K133" i="13"/>
  <c r="J133" i="13"/>
  <c r="K132" i="13"/>
  <c r="J132" i="13"/>
  <c r="K131" i="13"/>
  <c r="J131" i="13"/>
  <c r="I123" i="13"/>
  <c r="G123" i="13"/>
  <c r="F123" i="13"/>
  <c r="D123" i="13"/>
  <c r="K122" i="13"/>
  <c r="J122" i="13"/>
  <c r="I122" i="13"/>
  <c r="G122" i="13"/>
  <c r="F122" i="13"/>
  <c r="D122" i="13"/>
  <c r="I121" i="13"/>
  <c r="G121" i="13"/>
  <c r="F121" i="13"/>
  <c r="D121" i="13"/>
  <c r="K120" i="13"/>
  <c r="K119" i="13"/>
  <c r="J119" i="13"/>
  <c r="K118" i="13"/>
  <c r="K117" i="13"/>
  <c r="K116" i="13"/>
  <c r="K115" i="13"/>
  <c r="J115" i="13"/>
  <c r="K114" i="13"/>
  <c r="J114" i="13"/>
  <c r="I106" i="13"/>
  <c r="G106" i="13"/>
  <c r="F106" i="13"/>
  <c r="D106" i="13"/>
  <c r="K105" i="13"/>
  <c r="J105" i="13"/>
  <c r="I105" i="13"/>
  <c r="G105" i="13"/>
  <c r="F105" i="13"/>
  <c r="D105" i="13"/>
  <c r="I104" i="13"/>
  <c r="G104" i="13"/>
  <c r="F104" i="13"/>
  <c r="D104" i="13"/>
  <c r="K103" i="13"/>
  <c r="J103" i="13"/>
  <c r="K102" i="13"/>
  <c r="J102" i="13"/>
  <c r="K101" i="13"/>
  <c r="K100" i="13"/>
  <c r="K99" i="13"/>
  <c r="J99" i="13"/>
  <c r="K98" i="13"/>
  <c r="J98" i="13"/>
  <c r="K97" i="13"/>
  <c r="J97" i="13"/>
  <c r="K96" i="13"/>
  <c r="J96" i="13"/>
  <c r="K95" i="13"/>
  <c r="J95" i="13"/>
  <c r="K94" i="13"/>
  <c r="J94" i="13"/>
  <c r="K93" i="13"/>
  <c r="J93" i="13"/>
  <c r="K92" i="13"/>
  <c r="J92" i="13"/>
  <c r="K91" i="13"/>
  <c r="K90" i="13"/>
  <c r="J90" i="13"/>
  <c r="I82" i="13"/>
  <c r="G82" i="13"/>
  <c r="F82" i="13"/>
  <c r="D82" i="13"/>
  <c r="K81" i="13"/>
  <c r="I81" i="13"/>
  <c r="G81" i="13"/>
  <c r="F81" i="13"/>
  <c r="D81" i="13"/>
  <c r="I80" i="13"/>
  <c r="G80" i="13"/>
  <c r="F80" i="13"/>
  <c r="D80" i="13"/>
  <c r="K79" i="13"/>
  <c r="K77" i="13"/>
  <c r="K76" i="13"/>
  <c r="I68" i="13"/>
  <c r="H68" i="13"/>
  <c r="G68" i="13"/>
  <c r="F68" i="13"/>
  <c r="D68" i="13"/>
  <c r="K67" i="13"/>
  <c r="J67" i="13"/>
  <c r="I67" i="13"/>
  <c r="H67" i="13"/>
  <c r="G67" i="13"/>
  <c r="F67" i="13"/>
  <c r="D67" i="13"/>
  <c r="I66" i="13"/>
  <c r="K12" i="13" s="1"/>
  <c r="H66" i="13"/>
  <c r="G66" i="13"/>
  <c r="F66" i="13"/>
  <c r="D66" i="13"/>
  <c r="K65" i="13"/>
  <c r="K64" i="13"/>
  <c r="K63" i="13"/>
  <c r="K62" i="13"/>
  <c r="K61" i="13"/>
  <c r="K60" i="13"/>
  <c r="J60" i="13"/>
  <c r="I52" i="13"/>
  <c r="G52" i="13"/>
  <c r="F52" i="13"/>
  <c r="D52" i="13"/>
  <c r="K51" i="13"/>
  <c r="J51" i="13"/>
  <c r="I51" i="13"/>
  <c r="H51" i="13"/>
  <c r="G51" i="13"/>
  <c r="F51" i="13"/>
  <c r="D51" i="13"/>
  <c r="I50" i="13"/>
  <c r="H50" i="13"/>
  <c r="G50" i="13"/>
  <c r="F50" i="13"/>
  <c r="D50" i="13"/>
  <c r="K49" i="13"/>
  <c r="J49" i="13"/>
  <c r="K48" i="13"/>
  <c r="J48" i="13"/>
  <c r="K46" i="13"/>
  <c r="K44" i="13"/>
  <c r="J44" i="13"/>
  <c r="K43" i="13"/>
  <c r="K42" i="13"/>
  <c r="K41" i="13"/>
  <c r="J41" i="13"/>
  <c r="K39" i="13"/>
  <c r="J39" i="13"/>
  <c r="K38" i="13"/>
  <c r="K37" i="13"/>
  <c r="J37" i="13"/>
  <c r="K36" i="13"/>
  <c r="J36" i="13"/>
  <c r="K35" i="13"/>
  <c r="J35" i="13"/>
  <c r="K33" i="13"/>
  <c r="J33" i="13"/>
  <c r="K32" i="13"/>
  <c r="J32" i="13"/>
  <c r="K31" i="13"/>
  <c r="J31" i="13"/>
  <c r="K30" i="13"/>
  <c r="K29" i="13"/>
  <c r="J29" i="13"/>
  <c r="K22" i="13"/>
  <c r="J22" i="13"/>
  <c r="I22" i="13"/>
  <c r="H22" i="13"/>
  <c r="G22" i="13"/>
  <c r="F22" i="13"/>
  <c r="E22" i="13"/>
  <c r="H17" i="13"/>
  <c r="E17" i="13"/>
  <c r="C17" i="13"/>
  <c r="K15" i="13"/>
  <c r="K14" i="13"/>
  <c r="K13" i="13"/>
  <c r="K11" i="13"/>
  <c r="F180" i="12"/>
  <c r="F179" i="12"/>
  <c r="F178" i="12"/>
  <c r="F110" i="12"/>
  <c r="F109" i="12"/>
  <c r="F108" i="12"/>
  <c r="F95" i="12"/>
  <c r="F94" i="12"/>
  <c r="F93" i="12"/>
  <c r="F73" i="12"/>
  <c r="F72" i="12"/>
  <c r="F71" i="12"/>
  <c r="F61" i="12"/>
  <c r="F60" i="12"/>
  <c r="F59" i="12"/>
  <c r="F47" i="12"/>
  <c r="F46" i="12"/>
  <c r="F45" i="12"/>
  <c r="F13" i="12"/>
  <c r="E13" i="12"/>
  <c r="D13" i="12"/>
  <c r="I47" i="14" l="1"/>
  <c r="I8" i="14" s="1"/>
  <c r="I78" i="14"/>
  <c r="I119" i="14"/>
  <c r="H191" i="14"/>
  <c r="F99" i="15"/>
  <c r="J114" i="15"/>
  <c r="J185" i="15"/>
  <c r="J113" i="20"/>
  <c r="J114" i="20"/>
  <c r="J11" i="20" s="1"/>
  <c r="H118" i="14"/>
  <c r="H12" i="14" s="1"/>
  <c r="F102" i="16"/>
  <c r="J115" i="20"/>
  <c r="F65" i="16"/>
  <c r="E8" i="16" s="1"/>
  <c r="H102" i="14"/>
  <c r="H48" i="14"/>
  <c r="I64" i="14"/>
  <c r="J14" i="20" l="1"/>
  <c r="J13" i="20" s="1"/>
  <c r="K114" i="20"/>
  <c r="K11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</author>
  </authors>
  <commentList>
    <comment ref="J120" authorId="0" shapeId="0" xr:uid="{1EC5333D-A03A-4920-9695-2AB96D8698AE}">
      <text>
        <r>
          <rPr>
            <sz val="8"/>
            <color indexed="8"/>
            <rFont val="Arial"/>
            <family val="2"/>
          </rPr>
          <t xml:space="preserve">2022-04-22: 0
I do the ordering for all 3 schools in our district.
</t>
        </r>
      </text>
    </comment>
    <comment ref="J157" authorId="0" shapeId="0" xr:uid="{0719812B-A1D9-419A-A191-EAEAD42EF11A}">
      <text>
        <r>
          <rPr>
            <sz val="8"/>
            <color indexed="8"/>
            <rFont val="Arial"/>
            <family val="2"/>
          </rPr>
          <t xml:space="preserve">2022-05-13: 0
All Elementary Schools. The middle and high school have another librarian.
</t>
        </r>
      </text>
    </comment>
    <comment ref="J158" authorId="0" shapeId="0" xr:uid="{ED0FF104-7545-4AD3-B4FA-8AF14DE8003C}">
      <text>
        <r>
          <rPr>
            <sz val="8"/>
            <color indexed="8"/>
            <rFont val="Arial"/>
            <family val="2"/>
          </rPr>
          <t xml:space="preserve">2022-05-16: 0
Elementary Schools only
</t>
        </r>
      </text>
    </comment>
  </commentList>
</comments>
</file>

<file path=xl/sharedStrings.xml><?xml version="1.0" encoding="utf-8"?>
<sst xmlns="http://schemas.openxmlformats.org/spreadsheetml/2006/main" count="8909" uniqueCount="681">
  <si>
    <t>LIM</t>
  </si>
  <si>
    <t>Heavily dependent</t>
  </si>
  <si>
    <t>Grades</t>
  </si>
  <si>
    <t>Participating school libraries</t>
  </si>
  <si>
    <t>SUMMARY</t>
  </si>
  <si>
    <t>Enrollment</t>
  </si>
  <si>
    <t>Type of school</t>
  </si>
  <si>
    <t>Total</t>
  </si>
  <si>
    <t>Average</t>
  </si>
  <si>
    <t>Median</t>
  </si>
  <si>
    <t>DETAIL</t>
  </si>
  <si>
    <t>District</t>
  </si>
  <si>
    <t>School</t>
  </si>
  <si>
    <t>City or town</t>
  </si>
  <si>
    <t>Contact name</t>
  </si>
  <si>
    <t>Email</t>
  </si>
  <si>
    <t>Main contact</t>
  </si>
  <si>
    <t>WDE School ID(s)</t>
  </si>
  <si>
    <t>Supervises multiple schools</t>
  </si>
  <si>
    <t>Is District Librarian</t>
  </si>
  <si>
    <t>Total enrollment</t>
  </si>
  <si>
    <t>Staffing</t>
  </si>
  <si>
    <t>FTE data obtained from the Wyoming Dept. of Education</t>
  </si>
  <si>
    <t>LIM = Library Media Specialist, LMA = Library Media Aide</t>
  </si>
  <si>
    <t>Averages and percentages do not include non-reporting schools. See "N =" under each detail table for number reporting.</t>
  </si>
  <si>
    <t>"Main contact" is the person found in the library most often, not necessarily the respondent listed in the libraries tab.</t>
  </si>
  <si>
    <t>Main contact holds library/media endorsement</t>
  </si>
  <si>
    <t xml:space="preserve">Total Library Staff </t>
  </si>
  <si>
    <t>Library Media Specialists</t>
  </si>
  <si>
    <t>Number</t>
  </si>
  <si>
    <t>Percent</t>
  </si>
  <si>
    <t>Total FTE</t>
  </si>
  <si>
    <t>Students per FTE</t>
  </si>
  <si>
    <t>AVG FTE per school</t>
  </si>
  <si>
    <t>% LIM of total FTEs</t>
  </si>
  <si>
    <t>School-level staff FTEs</t>
  </si>
  <si>
    <t>Main contact has library media endorsement</t>
  </si>
  <si>
    <t>CNT</t>
  </si>
  <si>
    <t>LMA</t>
  </si>
  <si>
    <t>TOTAL staff</t>
  </si>
  <si>
    <t>Media specialist</t>
  </si>
  <si>
    <t xml:space="preserve">N = </t>
  </si>
  <si>
    <t>WDE school-level staff FTEs</t>
  </si>
  <si>
    <t>Collection expenditures</t>
  </si>
  <si>
    <t>*Where schools reported expenditures for at least one material type, but not both, total expenditures per students has been based on the data element provided.</t>
  </si>
  <si>
    <t>Average collection expenditures</t>
  </si>
  <si>
    <t>Expenditures per student</t>
  </si>
  <si>
    <t>Dependence on grants for collections</t>
  </si>
  <si>
    <t>Print</t>
  </si>
  <si>
    <t>All other</t>
  </si>
  <si>
    <t>TOTAL*</t>
  </si>
  <si>
    <t>Total Collection*</t>
  </si>
  <si>
    <t>None</t>
  </si>
  <si>
    <t>Supplements budget</t>
  </si>
  <si>
    <t>Print materials</t>
  </si>
  <si>
    <t>TOTAL</t>
  </si>
  <si>
    <t>N =</t>
  </si>
  <si>
    <t>Total Collection Expenditures</t>
  </si>
  <si>
    <t>Physical collections</t>
  </si>
  <si>
    <t>Total print items held</t>
  </si>
  <si>
    <t>Average collection size</t>
  </si>
  <si>
    <t>Average age Dewey 6xx</t>
  </si>
  <si>
    <t>Audio-video</t>
  </si>
  <si>
    <t>Periodical subs</t>
  </si>
  <si>
    <t>Median copyright</t>
  </si>
  <si>
    <t>Median age</t>
  </si>
  <si>
    <t>Items in collection</t>
  </si>
  <si>
    <t>Dewey 6XX print materials</t>
  </si>
  <si>
    <t>Print items per student</t>
  </si>
  <si>
    <t>Audio &amp; Video</t>
  </si>
  <si>
    <t>Periodical subscriptions</t>
  </si>
  <si>
    <t>Technology and electronic resources</t>
  </si>
  <si>
    <t>Student computers in library</t>
  </si>
  <si>
    <t>Percent of schools where</t>
  </si>
  <si>
    <t>Average computers per library</t>
  </si>
  <si>
    <t>Students per computer</t>
  </si>
  <si>
    <t>Library lends laptops</t>
  </si>
  <si>
    <t>School has website</t>
  </si>
  <si>
    <t>Library has web page</t>
  </si>
  <si>
    <t>Library has links to WYLDCAT</t>
  </si>
  <si>
    <t>Library has links to GoWYLD</t>
  </si>
  <si>
    <t>Databases purchased locally</t>
  </si>
  <si>
    <t>Remote access local databases</t>
  </si>
  <si>
    <t>NUMBER OF SCHOOLS</t>
  </si>
  <si>
    <t>Laptops loaned to students</t>
  </si>
  <si>
    <t>School has</t>
  </si>
  <si>
    <t>Remote access to databases</t>
  </si>
  <si>
    <t>Website</t>
  </si>
  <si>
    <t>Library web page</t>
  </si>
  <si>
    <t>Link to WYLDCAT</t>
  </si>
  <si>
    <t>Link to GoWYLD</t>
  </si>
  <si>
    <t>Each student is issued laptop/tablet</t>
  </si>
  <si>
    <t>Scheduling and instruction</t>
  </si>
  <si>
    <t>How are classes in the school library scheduled? (%)</t>
  </si>
  <si>
    <t>Average typical weekly instructional hours</t>
  </si>
  <si>
    <t>All flexibly scheduled</t>
  </si>
  <si>
    <t>Mixed flex/fixed</t>
  </si>
  <si>
    <t>All at fixed times</t>
  </si>
  <si>
    <t>How are classes in the school library scheduled?</t>
  </si>
  <si>
    <t>Typical weekly instructional hours</t>
  </si>
  <si>
    <t>Professional environment</t>
  </si>
  <si>
    <t>Training outside the district is supported</t>
  </si>
  <si>
    <t>On what committees do library staff participate?</t>
  </si>
  <si>
    <t>Library advisory committees</t>
  </si>
  <si>
    <t>Curriculum</t>
  </si>
  <si>
    <t>Technology</t>
  </si>
  <si>
    <t>School improvement</t>
  </si>
  <si>
    <t>Parent/teacher organization</t>
  </si>
  <si>
    <t>Faculty/ admin</t>
  </si>
  <si>
    <t>Student</t>
  </si>
  <si>
    <t>Student on faculty committee</t>
  </si>
  <si>
    <t>Policies</t>
  </si>
  <si>
    <t>% of schools that have</t>
  </si>
  <si>
    <t>% of libraries that have policies for</t>
  </si>
  <si>
    <t>Library policies &amp; procedures manual</t>
  </si>
  <si>
    <t>Regularly scheduled policy review/revision</t>
  </si>
  <si>
    <t>Internet/network acceptable use</t>
  </si>
  <si>
    <t>Collection development</t>
  </si>
  <si>
    <t>Challenges to holdings</t>
  </si>
  <si>
    <t>Copyright</t>
  </si>
  <si>
    <t>Resource sharing &amp; ILL</t>
  </si>
  <si>
    <t>School has:</t>
  </si>
  <si>
    <t>Library has policies for</t>
  </si>
  <si>
    <t>N=</t>
  </si>
  <si>
    <t>Student use</t>
  </si>
  <si>
    <t>Average 1st semester circulation</t>
  </si>
  <si>
    <t>1st semester circ per student</t>
  </si>
  <si>
    <t>Average typical weekly use:</t>
  </si>
  <si>
    <t>Average weekly hours open</t>
  </si>
  <si>
    <t>Classroom sessions</t>
  </si>
  <si>
    <t>Students in sessions</t>
  </si>
  <si>
    <t>Independent users</t>
  </si>
  <si>
    <t>Total visits</t>
  </si>
  <si>
    <t>Visits per student</t>
  </si>
  <si>
    <t>Before school</t>
  </si>
  <si>
    <t>After school</t>
  </si>
  <si>
    <t>1st semester circulation</t>
  </si>
  <si>
    <t>Typical weekly use:</t>
  </si>
  <si>
    <t>Hours open per week</t>
  </si>
  <si>
    <t>Total student visits</t>
  </si>
  <si>
    <t>Library is open:</t>
  </si>
  <si>
    <t>Library is open</t>
  </si>
  <si>
    <t>Big Piney High School</t>
  </si>
  <si>
    <t>Sublette #9</t>
  </si>
  <si>
    <t>pkearnes@ccsd.k12.wy.us</t>
  </si>
  <si>
    <t>Campbell County High School</t>
  </si>
  <si>
    <t>Gillette</t>
  </si>
  <si>
    <t>Cheyenne</t>
  </si>
  <si>
    <t>Laramie #1</t>
  </si>
  <si>
    <t>Park #6</t>
  </si>
  <si>
    <t>Casper</t>
  </si>
  <si>
    <t>Jennifer Markus</t>
  </si>
  <si>
    <t>East High School</t>
  </si>
  <si>
    <t>Uinta #1</t>
  </si>
  <si>
    <t>Lynn Forcella</t>
  </si>
  <si>
    <t>lforcella@bgh3.k12.wy.us</t>
  </si>
  <si>
    <t>Big Horn #3</t>
  </si>
  <si>
    <t>Carbon #2</t>
  </si>
  <si>
    <t>Jackson Hole High School</t>
  </si>
  <si>
    <t>Fremont #1</t>
  </si>
  <si>
    <t>Laramie</t>
  </si>
  <si>
    <t>Carissa Camp</t>
  </si>
  <si>
    <t>Lovell High School</t>
  </si>
  <si>
    <t>Big Horn #2</t>
  </si>
  <si>
    <t>Lovell Middle School</t>
  </si>
  <si>
    <t>Moorcroft</t>
  </si>
  <si>
    <t>Uinta #4</t>
  </si>
  <si>
    <t>Riverton</t>
  </si>
  <si>
    <t>Fremont #25</t>
  </si>
  <si>
    <t>Suzan Skaar</t>
  </si>
  <si>
    <t>South High School</t>
  </si>
  <si>
    <t>Suzanne Dorn</t>
  </si>
  <si>
    <t>sdorn@wsh1.k12.wy.us</t>
  </si>
  <si>
    <t>South Side Elementary</t>
  </si>
  <si>
    <t>Washakie #1</t>
  </si>
  <si>
    <t>West Side Elementary</t>
  </si>
  <si>
    <t>Westwood High School</t>
  </si>
  <si>
    <t>Worland Middle School</t>
  </si>
  <si>
    <t>Lincoln #2</t>
  </si>
  <si>
    <t>Sheridan #1</t>
  </si>
  <si>
    <t>Big Horn #1</t>
  </si>
  <si>
    <t>Platte #1</t>
  </si>
  <si>
    <t>Converse #1</t>
  </si>
  <si>
    <t>Sheridan #2</t>
  </si>
  <si>
    <t>Park #1</t>
  </si>
  <si>
    <t>Jennisen Lucas</t>
  </si>
  <si>
    <t>Powell</t>
  </si>
  <si>
    <t>Etna Elementary</t>
  </si>
  <si>
    <t>Allie Gillen</t>
  </si>
  <si>
    <t>agillen@tcsd.org</t>
  </si>
  <si>
    <t>Oregon Trail Elementary</t>
  </si>
  <si>
    <t>Osmond Elementary</t>
  </si>
  <si>
    <t>Dorine Strom</t>
  </si>
  <si>
    <t>dstrom@bighorn1.com</t>
  </si>
  <si>
    <t>Vikki Welch</t>
  </si>
  <si>
    <t>vikki.welch@scsd2.com</t>
  </si>
  <si>
    <t>Sagebrush Elementary</t>
  </si>
  <si>
    <t>Thayne Elementary</t>
  </si>
  <si>
    <t>Uinta #6</t>
  </si>
  <si>
    <t>Westside Elementary</t>
  </si>
  <si>
    <t>Sadie Payne</t>
  </si>
  <si>
    <t>spayne@lcsd2.org</t>
  </si>
  <si>
    <t>East Side Elementary</t>
  </si>
  <si>
    <t>Twila Pilcher</t>
  </si>
  <si>
    <t>pilchert@crook1.com</t>
  </si>
  <si>
    <t>Hulett School</t>
  </si>
  <si>
    <t>Star Valley High School</t>
  </si>
  <si>
    <t>JoAnne Keys</t>
  </si>
  <si>
    <t>Wheatland High School</t>
  </si>
  <si>
    <t>9-12</t>
  </si>
  <si>
    <t>7-12</t>
  </si>
  <si>
    <t>6-12</t>
  </si>
  <si>
    <t>K-12</t>
  </si>
  <si>
    <t>6-8</t>
  </si>
  <si>
    <t>7-8</t>
  </si>
  <si>
    <t>K-8</t>
  </si>
  <si>
    <t>K-5</t>
  </si>
  <si>
    <t>K-6</t>
  </si>
  <si>
    <t>K-4</t>
  </si>
  <si>
    <t>K-1</t>
  </si>
  <si>
    <t>K-2</t>
  </si>
  <si>
    <t>3-5</t>
  </si>
  <si>
    <t>K-3</t>
  </si>
  <si>
    <t>4-6</t>
  </si>
  <si>
    <t>X</t>
  </si>
  <si>
    <t>TOTAL computers</t>
  </si>
  <si>
    <t>Number of schools</t>
  </si>
  <si>
    <t xml:space="preserve"> </t>
  </si>
  <si>
    <t>Mountain View</t>
  </si>
  <si>
    <t>Maggie Unterseher</t>
  </si>
  <si>
    <t>Danna Babione</t>
  </si>
  <si>
    <t>bhedfb@sheridan.k12.wy.us</t>
  </si>
  <si>
    <t xml:space="preserve">  </t>
  </si>
  <si>
    <t>NA</t>
  </si>
  <si>
    <t>Avg Students per FTE</t>
  </si>
  <si>
    <t>Evanston High School</t>
  </si>
  <si>
    <t>Greybull High School</t>
  </si>
  <si>
    <t>Roosevelt High School</t>
  </si>
  <si>
    <t>Cody High School</t>
  </si>
  <si>
    <t>Patty Kearnes</t>
  </si>
  <si>
    <t>CCamp@bgh2.org</t>
  </si>
  <si>
    <t>1202055</t>
  </si>
  <si>
    <t>Glendo</t>
  </si>
  <si>
    <t>Star Valley Middle School</t>
  </si>
  <si>
    <t>Sheridan Junior High School</t>
  </si>
  <si>
    <t>Moorcroft K-8</t>
  </si>
  <si>
    <t>Mountain View K-8</t>
  </si>
  <si>
    <t>Janet Kanode</t>
  </si>
  <si>
    <t>kanodej@crook1.com</t>
  </si>
  <si>
    <t>Afflerbach Elementary</t>
  </si>
  <si>
    <t>Afton Elementary</t>
  </si>
  <si>
    <t>Big Horn Elementary</t>
  </si>
  <si>
    <t>Matt Bromagen</t>
  </si>
  <si>
    <t>Laramie High School</t>
  </si>
  <si>
    <t>Reesa Florom</t>
  </si>
  <si>
    <t>rflorom@acsd1.org</t>
  </si>
  <si>
    <t>Laramie #2</t>
  </si>
  <si>
    <t>Sweetwater #1</t>
  </si>
  <si>
    <t>Lacy Brooks</t>
  </si>
  <si>
    <t>1702050, 1702052</t>
  </si>
  <si>
    <t>Patty Cordonier</t>
  </si>
  <si>
    <t>patty_cordonier@natronaschools.org</t>
  </si>
  <si>
    <t>Velma Linford Elementary</t>
  </si>
  <si>
    <t>Rocky Mountain Elementary</t>
  </si>
  <si>
    <t>Conestoga Elementary</t>
  </si>
  <si>
    <t>Paintbrush Elementary</t>
  </si>
  <si>
    <t>Stocktrail Elementary</t>
  </si>
  <si>
    <t>Baldwin Creek Elementary</t>
  </si>
  <si>
    <t>Willow Creek Elementary</t>
  </si>
  <si>
    <t>Deming Elementary</t>
  </si>
  <si>
    <t>Henderson Elementary</t>
  </si>
  <si>
    <t>Crest Hill Elementary</t>
  </si>
  <si>
    <t>PK-6</t>
  </si>
  <si>
    <t>4-5</t>
  </si>
  <si>
    <t>1-3</t>
  </si>
  <si>
    <t>2-3</t>
  </si>
  <si>
    <t>Stefanie Hunt</t>
  </si>
  <si>
    <t>Nicole Jordan</t>
  </si>
  <si>
    <t>Susan Carrier</t>
  </si>
  <si>
    <t>Devin Hodgins</t>
  </si>
  <si>
    <t>Martha Karavitis</t>
  </si>
  <si>
    <t>Sue Sluss</t>
  </si>
  <si>
    <t>shunt@acsd1.org</t>
  </si>
  <si>
    <t>njordan@landerschools.org</t>
  </si>
  <si>
    <t>matthew.bromagen@laramie1.org</t>
  </si>
  <si>
    <t>martha_karavitis@natronaschools.org</t>
  </si>
  <si>
    <t>sue.sluss@platte1.org</t>
  </si>
  <si>
    <t/>
  </si>
  <si>
    <t>Average copyright</t>
  </si>
  <si>
    <t>Median students per computer</t>
  </si>
  <si>
    <t>Senior high (9-12) [21 resp.]</t>
  </si>
  <si>
    <t>Triumph High School</t>
  </si>
  <si>
    <t>Lovell</t>
  </si>
  <si>
    <t>Douglas</t>
  </si>
  <si>
    <t>Afton</t>
  </si>
  <si>
    <t>Cody</t>
  </si>
  <si>
    <t>Wheatland</t>
  </si>
  <si>
    <t>Sheridan</t>
  </si>
  <si>
    <t>Big Piney</t>
  </si>
  <si>
    <t>Jackson</t>
  </si>
  <si>
    <t>Evanston</t>
  </si>
  <si>
    <t>Sean Mentzel</t>
  </si>
  <si>
    <t>smentzel@ccsd.k12.wy.us</t>
  </si>
  <si>
    <t>sarah.horen@laramie1.org</t>
  </si>
  <si>
    <t>jennisenlucas@park6.org</t>
  </si>
  <si>
    <t>jkeys@platte1.k12.wy.us</t>
  </si>
  <si>
    <t>Wright Jr. &amp; Sr. High School</t>
  </si>
  <si>
    <t>Wright</t>
  </si>
  <si>
    <t>Cokeville</t>
  </si>
  <si>
    <t>Laura Miller</t>
  </si>
  <si>
    <t>lamiller@ccsd.k12.wy.us</t>
  </si>
  <si>
    <t>Hulett</t>
  </si>
  <si>
    <t>Cody Middle School</t>
  </si>
  <si>
    <t>Jackson Hole Middle School</t>
  </si>
  <si>
    <t>Greybull</t>
  </si>
  <si>
    <t>Rock Springs</t>
  </si>
  <si>
    <t>Worland</t>
  </si>
  <si>
    <t>DeAnna Calvin</t>
  </si>
  <si>
    <t>Maggon Osmond</t>
  </si>
  <si>
    <t>dcalvin@bgh2.org</t>
  </si>
  <si>
    <t>maosmond@lcsd2.org</t>
  </si>
  <si>
    <t>Harmony Elementary</t>
  </si>
  <si>
    <t>Buffalo Ridge Elementary (CAMP)</t>
  </si>
  <si>
    <t>Meadowlark Elementary (CAMP)</t>
  </si>
  <si>
    <t>Prairie Wind Elementary (CAMP)</t>
  </si>
  <si>
    <t>Cole Elementary</t>
  </si>
  <si>
    <t>Journey Elementary</t>
  </si>
  <si>
    <t>Southridge Elementary</t>
  </si>
  <si>
    <t>Eastside Elementary (PARK)</t>
  </si>
  <si>
    <t>Glenn Livingston Elementary</t>
  </si>
  <si>
    <t>Sunset Elementary</t>
  </si>
  <si>
    <t>Valley Elementary</t>
  </si>
  <si>
    <t>Wapiti Elementary</t>
  </si>
  <si>
    <t>Henry A. Coffeen Elementary</t>
  </si>
  <si>
    <t>Alta Elementary</t>
  </si>
  <si>
    <t>Colter Elementary</t>
  </si>
  <si>
    <t>Cowley</t>
  </si>
  <si>
    <t>Lander</t>
  </si>
  <si>
    <t>Etna</t>
  </si>
  <si>
    <t>Thayne</t>
  </si>
  <si>
    <t>Big Horn</t>
  </si>
  <si>
    <t>Lyman</t>
  </si>
  <si>
    <t>Alta</t>
  </si>
  <si>
    <t>Gwen Walker</t>
  </si>
  <si>
    <t>Ginny Nading</t>
  </si>
  <si>
    <t>Kimberly Redmond</t>
  </si>
  <si>
    <t>gwalker@bgh2.org</t>
  </si>
  <si>
    <t>susan.carrier@laramie1.org</t>
  </si>
  <si>
    <t>shunsaker@lcsd2.org</t>
  </si>
  <si>
    <t>ginny837@myncsd.org</t>
  </si>
  <si>
    <t>kimberly_redmond@natronaschools.org</t>
  </si>
  <si>
    <t>msnider@tcsd.org</t>
  </si>
  <si>
    <t>Average age</t>
  </si>
  <si>
    <t>Total Use</t>
  </si>
  <si>
    <t>Wyoming School Library Survey 2021-22</t>
  </si>
  <si>
    <t>Rawlins High School</t>
  </si>
  <si>
    <t>Kelly Walsh High School</t>
  </si>
  <si>
    <t>Summit Innovations School</t>
  </si>
  <si>
    <t>Lyman High School</t>
  </si>
  <si>
    <t>Worland High School</t>
  </si>
  <si>
    <t>Newcastle High School</t>
  </si>
  <si>
    <t>Albany #1</t>
  </si>
  <si>
    <t>Campbell #1</t>
  </si>
  <si>
    <t>Carbon #1</t>
  </si>
  <si>
    <t>Natrona #1</t>
  </si>
  <si>
    <t>Teton #1</t>
  </si>
  <si>
    <t>Weston #1</t>
  </si>
  <si>
    <t>0101055</t>
  </si>
  <si>
    <t>0202055</t>
  </si>
  <si>
    <t>0203055</t>
  </si>
  <si>
    <t>0301055</t>
  </si>
  <si>
    <t>0301057</t>
  </si>
  <si>
    <t>0401056</t>
  </si>
  <si>
    <t>1101056</t>
  </si>
  <si>
    <t>1101058</t>
  </si>
  <si>
    <t>1101057</t>
  </si>
  <si>
    <t>1202056</t>
  </si>
  <si>
    <t>1301055</t>
  </si>
  <si>
    <t>1301058</t>
  </si>
  <si>
    <t>1506055</t>
  </si>
  <si>
    <t>1809055</t>
  </si>
  <si>
    <t>2001055</t>
  </si>
  <si>
    <t>2001056</t>
  </si>
  <si>
    <t>2101055</t>
  </si>
  <si>
    <t>2106055</t>
  </si>
  <si>
    <t>2201055</t>
  </si>
  <si>
    <t>2301055</t>
  </si>
  <si>
    <t>Rawlins</t>
  </si>
  <si>
    <t>Newcastle</t>
  </si>
  <si>
    <t>Jennifer McCuddy</t>
  </si>
  <si>
    <t>Sara Horen</t>
  </si>
  <si>
    <t>Stephanie Suloff</t>
  </si>
  <si>
    <t>Tabitha Smith-Herron</t>
  </si>
  <si>
    <t>Holly Pheni</t>
  </si>
  <si>
    <t>Roberta Barron</t>
  </si>
  <si>
    <t>Roan Eastman</t>
  </si>
  <si>
    <t>Amy Glenn</t>
  </si>
  <si>
    <t>Edie Dennis</t>
  </si>
  <si>
    <t>Sonya Buckner</t>
  </si>
  <si>
    <t>jmccuddy@crb1.net</t>
  </si>
  <si>
    <t>markusj@laramie1.org</t>
  </si>
  <si>
    <t>SkaarS@laramie1.org</t>
  </si>
  <si>
    <t>ssuloff@lcsd2.org</t>
  </si>
  <si>
    <t>Tabitha_SmithHerron@natronaschools.org</t>
  </si>
  <si>
    <t>holly7574@myncsd.org</t>
  </si>
  <si>
    <t>rbarron@sublette9.org</t>
  </si>
  <si>
    <t>reastman@tcsd.org</t>
  </si>
  <si>
    <t>aglenn@tcsd.org</t>
  </si>
  <si>
    <t>edennis@uinta1.com</t>
  </si>
  <si>
    <t>buckners@uinta6.k12.wy.us</t>
  </si>
  <si>
    <t>sdorn@washakie1.com</t>
  </si>
  <si>
    <t>unterseherm@wcsd1.org</t>
  </si>
  <si>
    <t>Big Horn Middle/High School</t>
  </si>
  <si>
    <t>Cokeville High School</t>
  </si>
  <si>
    <t>Moorcroft Hight School</t>
  </si>
  <si>
    <t>HEM Junior/Senior High School</t>
  </si>
  <si>
    <t>Wind River Middle/High School</t>
  </si>
  <si>
    <t>Crook #1</t>
  </si>
  <si>
    <t>Fremont #6</t>
  </si>
  <si>
    <t>0301056</t>
  </si>
  <si>
    <t>0601056</t>
  </si>
  <si>
    <t>0402048</t>
  </si>
  <si>
    <t>0706050, 0706056</t>
  </si>
  <si>
    <t>1701050, 1701055</t>
  </si>
  <si>
    <t>Hanna</t>
  </si>
  <si>
    <t>Pavillion</t>
  </si>
  <si>
    <t>Marci Allison</t>
  </si>
  <si>
    <t>April Hawks</t>
  </si>
  <si>
    <t>Sally Crank</t>
  </si>
  <si>
    <t>CIndy Hagen</t>
  </si>
  <si>
    <t>allisonm@crook1.com</t>
  </si>
  <si>
    <t>ahawks@crb2.org</t>
  </si>
  <si>
    <t>scrank@fre6.k12.wy.us</t>
  </si>
  <si>
    <t>chagen@sheridan.k12.wy.us</t>
  </si>
  <si>
    <t>Glendo Attendance Center</t>
  </si>
  <si>
    <t>Burlington</t>
  </si>
  <si>
    <t>Meeteetse</t>
  </si>
  <si>
    <t>0601049</t>
  </si>
  <si>
    <t>1516049</t>
  </si>
  <si>
    <t>0201001, 0201051, 0201055</t>
  </si>
  <si>
    <t>1601002, 1601056</t>
  </si>
  <si>
    <t>Burlington School</t>
  </si>
  <si>
    <t>Meeteetse School</t>
  </si>
  <si>
    <t>Park #16</t>
  </si>
  <si>
    <t>Dory Cauffman</t>
  </si>
  <si>
    <t>Linda Seaton</t>
  </si>
  <si>
    <t>dcauffman@bighorn1.com</t>
  </si>
  <si>
    <t>lseaton@parkcountylibrary.org</t>
  </si>
  <si>
    <t>lbrook@platte1.k12.wy.us</t>
  </si>
  <si>
    <t>PK-12</t>
  </si>
  <si>
    <t>Casper Classical Academy/Frontier Middle School</t>
  </si>
  <si>
    <t>0101050</t>
  </si>
  <si>
    <t>0202050</t>
  </si>
  <si>
    <t>1101050</t>
  </si>
  <si>
    <t>1101052</t>
  </si>
  <si>
    <t>1202051</t>
  </si>
  <si>
    <t>1301038</t>
  </si>
  <si>
    <t>1301054</t>
  </si>
  <si>
    <t>1301051</t>
  </si>
  <si>
    <t>1506050</t>
  </si>
  <si>
    <t>1809050</t>
  </si>
  <si>
    <t>1901050</t>
  </si>
  <si>
    <t>2001050</t>
  </si>
  <si>
    <t>2201050</t>
  </si>
  <si>
    <t>Jeannine Collins</t>
  </si>
  <si>
    <t>Jeanne Tucker</t>
  </si>
  <si>
    <t>Lindsay Bugas</t>
  </si>
  <si>
    <t>Rebecca Murray</t>
  </si>
  <si>
    <t>Cinnamon Dow</t>
  </si>
  <si>
    <t>Jennifer Anderson</t>
  </si>
  <si>
    <t>Allison Klima</t>
  </si>
  <si>
    <t>Brenna Franklin</t>
  </si>
  <si>
    <t>jcollins@acsd1.org</t>
  </si>
  <si>
    <t>jeanne.tucker@laramie1.org</t>
  </si>
  <si>
    <t>lindsay.bugas@laramie1.org</t>
  </si>
  <si>
    <t>rebecca905@myncsd.org</t>
  </si>
  <si>
    <t>cinnamon642@myncsd.org</t>
  </si>
  <si>
    <t>jennifer.anderson@scsd2.com</t>
  </si>
  <si>
    <t>aklima@sublette9.org</t>
  </si>
  <si>
    <t>franklinb@sw1.k12.wy.us</t>
  </si>
  <si>
    <t xml:space="preserve"> X</t>
  </si>
  <si>
    <t>Lusk Elementary/Middle School</t>
  </si>
  <si>
    <t>Desert School K-8</t>
  </si>
  <si>
    <t>Lusk</t>
  </si>
  <si>
    <t>Wamsutter</t>
  </si>
  <si>
    <t>Niobrara #1</t>
  </si>
  <si>
    <t>0101001</t>
  </si>
  <si>
    <t>0601008</t>
  </si>
  <si>
    <t>1301029</t>
  </si>
  <si>
    <t>2104020</t>
  </si>
  <si>
    <t>1401004, 1401050</t>
  </si>
  <si>
    <t>1901001, 1901053</t>
  </si>
  <si>
    <t>Trish Jacobsen</t>
  </si>
  <si>
    <t>Sarah Elston</t>
  </si>
  <si>
    <t>Norma Langston</t>
  </si>
  <si>
    <t>Taylor Wailes-Putnam</t>
  </si>
  <si>
    <t>Tori Carter</t>
  </si>
  <si>
    <t>tjacobsen@acsd1.org</t>
  </si>
  <si>
    <t>sarah2074@myncsd.org</t>
  </si>
  <si>
    <t>langstonn@lusk.k12.wy.us</t>
  </si>
  <si>
    <t>wailesputnamt@sw1.k12.wy.us</t>
  </si>
  <si>
    <t>cartert@uinta4.com</t>
  </si>
  <si>
    <t>Newcastle Elementary K-5</t>
  </si>
  <si>
    <t>Laramie Middle School</t>
  </si>
  <si>
    <t>Carey Junior High School</t>
  </si>
  <si>
    <t>McCormick Junior High School</t>
  </si>
  <si>
    <t>Centennial Junior High School</t>
  </si>
  <si>
    <t>Dean Morgan Junior High School</t>
  </si>
  <si>
    <t>Big Piney Middle School</t>
  </si>
  <si>
    <t>Rock Springs Junior High School</t>
  </si>
  <si>
    <t>Snowy Range Academy</t>
  </si>
  <si>
    <t>Woods Learning Center</t>
  </si>
  <si>
    <t>Spring Creek Elementary</t>
  </si>
  <si>
    <t>Lovell elementary</t>
  </si>
  <si>
    <t>Cottonwood Elementary (CAMP)</t>
  </si>
  <si>
    <t>Rozet Elementary</t>
  </si>
  <si>
    <t>Elk Mountain Elementary</t>
  </si>
  <si>
    <t>Hanna Elementary</t>
  </si>
  <si>
    <t>Medicine Bow Elementary</t>
  </si>
  <si>
    <t>Douglas Intermediate School</t>
  </si>
  <si>
    <t>Jackson Elementary (FREM)</t>
  </si>
  <si>
    <t>Arp Elementary</t>
  </si>
  <si>
    <t>Davis Elementary</t>
  </si>
  <si>
    <t>Hebard Elementary</t>
  </si>
  <si>
    <t>Rossman Rlementary</t>
  </si>
  <si>
    <t>Saddle Ridge Elementary</t>
  </si>
  <si>
    <t>Sunrise Elementary</t>
  </si>
  <si>
    <t>Albin Elementary</t>
  </si>
  <si>
    <t>Manor Heights Elementary</t>
  </si>
  <si>
    <t>Poison Spider Elementary</t>
  </si>
  <si>
    <t>Summit Elementary</t>
  </si>
  <si>
    <t>Clark Elementary (PARK)</t>
  </si>
  <si>
    <t>Libbey Elementary</t>
  </si>
  <si>
    <t>West Elementary (PLAT)</t>
  </si>
  <si>
    <t>Highland Park Elementary</t>
  </si>
  <si>
    <t>Stagecoach Elementary</t>
  </si>
  <si>
    <t>Munger Mountain Elementary</t>
  </si>
  <si>
    <t>0101009</t>
  </si>
  <si>
    <t>0101027</t>
  </si>
  <si>
    <t>0101020</t>
  </si>
  <si>
    <t>0201004</t>
  </si>
  <si>
    <t>0202001</t>
  </si>
  <si>
    <t>0301025</t>
  </si>
  <si>
    <t>0301022</t>
  </si>
  <si>
    <t>0301006</t>
  </si>
  <si>
    <t>0301011</t>
  </si>
  <si>
    <t>0301021</t>
  </si>
  <si>
    <t>0301017</t>
  </si>
  <si>
    <t>0301015</t>
  </si>
  <si>
    <t>0301026</t>
  </si>
  <si>
    <t>0402001</t>
  </si>
  <si>
    <t>0402003</t>
  </si>
  <si>
    <t>0402005</t>
  </si>
  <si>
    <t>0501013</t>
  </si>
  <si>
    <t>0701009</t>
  </si>
  <si>
    <t>0725008</t>
  </si>
  <si>
    <t>0725010</t>
  </si>
  <si>
    <t>1101027</t>
  </si>
  <si>
    <t>1101002</t>
  </si>
  <si>
    <t>1101007</t>
  </si>
  <si>
    <t>1101009</t>
  </si>
  <si>
    <t>1101010</t>
  </si>
  <si>
    <t>1101016</t>
  </si>
  <si>
    <t>1101017</t>
  </si>
  <si>
    <t>1101024</t>
  </si>
  <si>
    <t>1101030</t>
  </si>
  <si>
    <t>1101029</t>
  </si>
  <si>
    <t>1102001</t>
  </si>
  <si>
    <t>1202001</t>
  </si>
  <si>
    <t>1202004</t>
  </si>
  <si>
    <t>1202005</t>
  </si>
  <si>
    <t>1202003</t>
  </si>
  <si>
    <t>1301002</t>
  </si>
  <si>
    <t>1301014</t>
  </si>
  <si>
    <t>1301011</t>
  </si>
  <si>
    <t>1301031</t>
  </si>
  <si>
    <t>1301020</t>
  </si>
  <si>
    <t>1301023</t>
  </si>
  <si>
    <t>1301039</t>
  </si>
  <si>
    <t>1501001</t>
  </si>
  <si>
    <t>1501004</t>
  </si>
  <si>
    <t>1506001</t>
  </si>
  <si>
    <t>1506005</t>
  </si>
  <si>
    <t>1506002</t>
  </si>
  <si>
    <t>1506003</t>
  </si>
  <si>
    <t>1506004</t>
  </si>
  <si>
    <t>1601003</t>
  </si>
  <si>
    <t>1601005</t>
  </si>
  <si>
    <t>1701001</t>
  </si>
  <si>
    <t>1702002</t>
  </si>
  <si>
    <t>1702003</t>
  </si>
  <si>
    <t>1702010</t>
  </si>
  <si>
    <t>1901018</t>
  </si>
  <si>
    <t>2001001</t>
  </si>
  <si>
    <t>2001009</t>
  </si>
  <si>
    <t>2001011</t>
  </si>
  <si>
    <t>2201004</t>
  </si>
  <si>
    <t>2201005</t>
  </si>
  <si>
    <t>2201006</t>
  </si>
  <si>
    <t>2301001, 2301001</t>
  </si>
  <si>
    <t>Rozet</t>
  </si>
  <si>
    <t>Elk Mountain</t>
  </si>
  <si>
    <t>Medicine Bow</t>
  </si>
  <si>
    <t>Albin</t>
  </si>
  <si>
    <t>dawn_findley@natronaschools.org</t>
  </si>
  <si>
    <t>Dawn Findley</t>
  </si>
  <si>
    <t xml:space="preserve"> 4-6</t>
  </si>
  <si>
    <t>Ryan Martinez</t>
  </si>
  <si>
    <t>Heidi Nannemann</t>
  </si>
  <si>
    <t>Mandy Kolata</t>
  </si>
  <si>
    <t>Megan Bietz</t>
  </si>
  <si>
    <t>Vicki Gunderson</t>
  </si>
  <si>
    <t>Missy Hodgs</t>
  </si>
  <si>
    <t>Kari Childers</t>
  </si>
  <si>
    <t>Karla Kucera</t>
  </si>
  <si>
    <t>Christine Fitzgerald</t>
  </si>
  <si>
    <t>Jasmine Wilcox</t>
  </si>
  <si>
    <t>Paula Tryon</t>
  </si>
  <si>
    <t>Amanda Painter</t>
  </si>
  <si>
    <t>Jenifer Komara</t>
  </si>
  <si>
    <t>Tracy Notgrass</t>
  </si>
  <si>
    <t>Kyla Page</t>
  </si>
  <si>
    <t>Melody Smith</t>
  </si>
  <si>
    <t>Donna Thompson</t>
  </si>
  <si>
    <t>Amy Merritt</t>
  </si>
  <si>
    <t>Katie Thygerson</t>
  </si>
  <si>
    <t>Shelly Hunsaker</t>
  </si>
  <si>
    <t>Karollyn Robbins</t>
  </si>
  <si>
    <t>Lori Stone</t>
  </si>
  <si>
    <t>Amanda Craig</t>
  </si>
  <si>
    <t>Jessie Otto</t>
  </si>
  <si>
    <t>Wendy May</t>
  </si>
  <si>
    <t>Kristine Gaskill</t>
  </si>
  <si>
    <t>Emily Hanchett</t>
  </si>
  <si>
    <t>Alta Elementary School</t>
  </si>
  <si>
    <t>Erin Witt</t>
  </si>
  <si>
    <t>Melissa Snider</t>
  </si>
  <si>
    <t>Connie Hieb</t>
  </si>
  <si>
    <t>rmartinez@acsd1.org</t>
  </si>
  <si>
    <t>hnannemann@ccsd.k12.wy.us</t>
  </si>
  <si>
    <t>mkolata@ccsd.k12.wy.us</t>
  </si>
  <si>
    <t>mbietz@ccsd.k12.wy.us</t>
  </si>
  <si>
    <t>vgunderson@ccsd.k12.wy.us</t>
  </si>
  <si>
    <t>mhodgs@ccsd1.org</t>
  </si>
  <si>
    <t>kchilders@fremont25.org</t>
  </si>
  <si>
    <t>kkucera@fremont25.org</t>
  </si>
  <si>
    <t>christine.fitzgerald@laramie1.org</t>
  </si>
  <si>
    <t>jasmine.wilcox@laramie1.org</t>
  </si>
  <si>
    <t>paula.tryon@laramie1.org</t>
  </si>
  <si>
    <t>amanda.painter@laramie1.org</t>
  </si>
  <si>
    <t>jenifer.komara@laramie1.org</t>
  </si>
  <si>
    <t>tracy.notgrass@laramie1.org</t>
  </si>
  <si>
    <t>kyla.page@laramie1.org</t>
  </si>
  <si>
    <t>melody.smith@laramie1.org</t>
  </si>
  <si>
    <t>donna.thompson@laramie2.org</t>
  </si>
  <si>
    <t>amerritt@lcsd2.org</t>
  </si>
  <si>
    <t>kathygerson@lcsd2.org</t>
  </si>
  <si>
    <t>karolyn.robbins@lcsd2.org</t>
  </si>
  <si>
    <t>Devin_Hodgins@natronaschools.org</t>
  </si>
  <si>
    <t>lori_stone@natronaschools.org</t>
  </si>
  <si>
    <t>amanda_craig@natronaschools.org</t>
  </si>
  <si>
    <t>jrotto@pcsd1.org</t>
  </si>
  <si>
    <t>wmay@platte1.k12.wy.us</t>
  </si>
  <si>
    <t>kristine.gaskill@scsd2.com</t>
  </si>
  <si>
    <t>emily.hanchett@scsd2.com</t>
  </si>
  <si>
    <t>mhardin@tcsd.org</t>
  </si>
  <si>
    <t>ewitt@tcsd.org</t>
  </si>
  <si>
    <t>hiebc@wcsd1.org</t>
  </si>
  <si>
    <t>Junior/senior high (6-12) [6 resp.]</t>
  </si>
  <si>
    <t>K-12 [4 resp.]</t>
  </si>
  <si>
    <t>Junior high/middle (5-9) 14 resp.]</t>
  </si>
  <si>
    <t>K-8 &amp; K-9 [7 resp.]</t>
  </si>
  <si>
    <t>Elementary (K-6) [62 resp.]</t>
  </si>
  <si>
    <t>Junior high/middle (5-9) [14 resp.]</t>
  </si>
  <si>
    <t>Total [114 resp.]</t>
  </si>
  <si>
    <t>Average expenditures per student</t>
  </si>
  <si>
    <t>Print per student</t>
  </si>
  <si>
    <t xml:space="preserve">NA </t>
  </si>
  <si>
    <t xml:space="preserve"> NA</t>
  </si>
  <si>
    <t xml:space="preserve">X </t>
  </si>
  <si>
    <t>Average visits 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</si>
</sst>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&quot;$&quot;#,##0"/>
    <numFmt numFmtId="168" formatCode="&quot;$&quot;#,##0.00"/>
    <numFmt numFmtId="169" formatCode="[&lt;=9999999]###\-####;\(###\)\ ###\-####"/>
    <numFmt numFmtId="170" formatCode="[&lt;=999999999999999]###\-####;\(###\)\ ###\-####\ \x#####"/>
    <numFmt numFmtId="171" formatCode="[&lt;=99999]00000;[&lt;=999999999]00000\-0000"/>
    <numFmt numFmtId="172" formatCode="@_[\*"/>
    <numFmt numFmtId="173" formatCode="#,##0_[\*"/>
    <numFmt numFmtId="174" formatCode="_(* #,##0.0_);_(* \(#,##0.0\);_(* &quot;-&quot;??_);_(@_)"/>
    <numFmt numFmtId="175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0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14" fontId="29" fillId="0" borderId="0" applyFont="0" applyFill="0" applyBorder="0" applyAlignment="0" applyProtection="0"/>
    <xf numFmtId="20" fontId="29" fillId="0" borderId="0" applyFont="0" applyFill="0" applyBorder="0" applyAlignment="0" applyProtection="0"/>
    <xf numFmtId="22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19" fontId="29" fillId="0" borderId="0" applyFont="0" applyFill="0" applyBorder="0" applyAlignment="0" applyProtection="0"/>
    <xf numFmtId="18" fontId="29" fillId="0" borderId="0" applyFont="0" applyFill="0" applyBorder="0" applyAlignment="0" applyProtection="0"/>
    <xf numFmtId="0" fontId="29" fillId="0" borderId="0" applyNumberFormat="0" applyFont="0" applyFill="0" applyBorder="0" applyProtection="0">
      <alignment horizontal="left" vertical="center"/>
    </xf>
    <xf numFmtId="0" fontId="29" fillId="0" borderId="0" applyNumberFormat="0" applyFont="0" applyFill="0" applyBorder="0" applyProtection="0">
      <alignment horizontal="left" vertical="center"/>
    </xf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0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0" borderId="0"/>
    <xf numFmtId="18" fontId="27" fillId="0" borderId="0" applyFont="0" applyFill="0" applyBorder="0" applyAlignment="0" applyProtection="0"/>
    <xf numFmtId="1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10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31" fillId="0" borderId="0"/>
    <xf numFmtId="3" fontId="31" fillId="0" borderId="0" applyFont="0" applyFill="0" applyBorder="0" applyAlignment="0" applyProtection="0"/>
    <xf numFmtId="0" fontId="31" fillId="0" borderId="0" applyNumberFormat="0" applyFont="0" applyFill="0" applyBorder="0" applyProtection="0">
      <alignment horizontal="left"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14" fontId="31" fillId="0" borderId="0" applyFont="0" applyFill="0" applyBorder="0" applyAlignment="0" applyProtection="0"/>
    <xf numFmtId="20" fontId="31" fillId="0" borderId="0" applyFont="0" applyFill="0" applyBorder="0" applyAlignment="0" applyProtection="0"/>
    <xf numFmtId="22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9" fontId="31" fillId="0" borderId="0" applyFont="0" applyFill="0" applyBorder="0" applyAlignment="0" applyProtection="0"/>
    <xf numFmtId="18" fontId="31" fillId="0" borderId="0" applyFont="0" applyFill="0" applyBorder="0" applyAlignment="0" applyProtection="0"/>
    <xf numFmtId="0" fontId="31" fillId="0" borderId="0" applyNumberFormat="0" applyFont="0" applyFill="0" applyBorder="0" applyProtection="0">
      <alignment horizontal="left" vertical="center"/>
    </xf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27" fillId="0" borderId="0" applyFont="0" applyFill="0" applyBorder="0" applyAlignment="0" applyProtection="0"/>
    <xf numFmtId="172" fontId="27" fillId="0" borderId="0" applyFont="0" applyFill="0" applyBorder="0" applyProtection="0">
      <alignment horizontal="left" vertical="center"/>
    </xf>
    <xf numFmtId="0" fontId="27" fillId="0" borderId="0"/>
    <xf numFmtId="44" fontId="27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4" fontId="27" fillId="0" borderId="0" applyFont="0" applyFill="0" applyBorder="0" applyAlignment="0" applyProtection="0"/>
    <xf numFmtId="20" fontId="27" fillId="0" borderId="0" applyFont="0" applyFill="0" applyBorder="0" applyAlignment="0" applyProtection="0"/>
    <xf numFmtId="22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8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31" fillId="0" borderId="0" applyFont="0" applyFill="0" applyBorder="0" applyAlignment="0" applyProtection="0"/>
    <xf numFmtId="14" fontId="31" fillId="0" borderId="0" applyFont="0" applyFill="0" applyBorder="0" applyAlignment="0" applyProtection="0"/>
    <xf numFmtId="20" fontId="31" fillId="0" borderId="0" applyFont="0" applyFill="0" applyBorder="0" applyAlignment="0" applyProtection="0"/>
    <xf numFmtId="172" fontId="31" fillId="0" borderId="0" applyFont="0" applyFill="0" applyBorder="0" applyProtection="0">
      <alignment horizontal="left" vertical="center"/>
    </xf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4" fontId="27" fillId="0" borderId="0" applyFont="0" applyFill="0" applyBorder="0" applyAlignment="0" applyProtection="0"/>
    <xf numFmtId="20" fontId="27" fillId="0" borderId="0" applyFont="0" applyFill="0" applyBorder="0" applyAlignment="0" applyProtection="0"/>
    <xf numFmtId="22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8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0" fontId="27" fillId="0" borderId="0" applyNumberFormat="0" applyFont="0" applyFill="0" applyBorder="0" applyProtection="0">
      <alignment horizontal="left" vertical="center"/>
    </xf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7" fillId="0" borderId="0"/>
    <xf numFmtId="3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4" fontId="27" fillId="0" borderId="0" applyFont="0" applyFill="0" applyBorder="0" applyAlignment="0" applyProtection="0"/>
    <xf numFmtId="20" fontId="27" fillId="0" borderId="0" applyFont="0" applyFill="0" applyBorder="0" applyAlignment="0" applyProtection="0"/>
    <xf numFmtId="22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8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3" fontId="31" fillId="0" borderId="0" applyFont="0" applyFill="0" applyBorder="0" applyAlignment="0" applyProtection="0"/>
    <xf numFmtId="0" fontId="31" fillId="0" borderId="0" applyNumberFormat="0" applyFont="0" applyFill="0" applyBorder="0" applyProtection="0">
      <alignment horizontal="left"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14" fontId="31" fillId="0" borderId="0" applyFont="0" applyFill="0" applyBorder="0" applyAlignment="0" applyProtection="0"/>
    <xf numFmtId="20" fontId="31" fillId="0" borderId="0" applyFont="0" applyFill="0" applyBorder="0" applyAlignment="0" applyProtection="0"/>
    <xf numFmtId="22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19" fontId="31" fillId="0" borderId="0" applyFont="0" applyFill="0" applyBorder="0" applyAlignment="0" applyProtection="0"/>
    <xf numFmtId="18" fontId="31" fillId="0" borderId="0" applyFont="0" applyFill="0" applyBorder="0" applyAlignment="0" applyProtection="0"/>
    <xf numFmtId="0" fontId="31" fillId="0" borderId="0" applyNumberFormat="0" applyFont="0" applyFill="0" applyBorder="0" applyProtection="0">
      <alignment horizontal="left" vertical="center"/>
    </xf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14" fontId="34" fillId="0" borderId="0" applyFont="0" applyFill="0" applyBorder="0" applyAlignment="0" applyProtection="0"/>
    <xf numFmtId="20" fontId="34" fillId="0" borderId="0" applyFont="0" applyFill="0" applyBorder="0" applyAlignment="0" applyProtection="0"/>
    <xf numFmtId="22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9" fontId="34" fillId="0" borderId="0" applyFont="0" applyFill="0" applyBorder="0" applyAlignment="0" applyProtection="0"/>
    <xf numFmtId="18" fontId="34" fillId="0" borderId="0" applyFont="0" applyFill="0" applyBorder="0" applyAlignment="0" applyProtection="0"/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14" fontId="34" fillId="0" borderId="0" applyFont="0" applyFill="0" applyBorder="0" applyAlignment="0" applyProtection="0"/>
    <xf numFmtId="20" fontId="34" fillId="0" borderId="0" applyFont="0" applyFill="0" applyBorder="0" applyAlignment="0" applyProtection="0"/>
    <xf numFmtId="22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9" fontId="34" fillId="0" borderId="0" applyFont="0" applyFill="0" applyBorder="0" applyAlignment="0" applyProtection="0"/>
    <xf numFmtId="18" fontId="34" fillId="0" borderId="0" applyFont="0" applyFill="0" applyBorder="0" applyAlignment="0" applyProtection="0"/>
    <xf numFmtId="0" fontId="34" fillId="0" borderId="0" applyNumberFormat="0" applyFont="0" applyFill="0" applyBorder="0" applyProtection="0">
      <alignment horizontal="left" vertical="center"/>
    </xf>
    <xf numFmtId="0" fontId="34" fillId="0" borderId="0" applyNumberFormat="0" applyFont="0" applyFill="0" applyBorder="0" applyProtection="0">
      <alignment horizontal="left" vertical="center"/>
    </xf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5" fontId="27" fillId="0" borderId="0" applyFont="0" applyFill="0" applyBorder="0" applyAlignment="0" applyProtection="0"/>
    <xf numFmtId="18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0" fontId="1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4" fontId="27" fillId="0" borderId="0" applyFont="0" applyFill="0" applyBorder="0" applyAlignment="0" applyProtection="0"/>
    <xf numFmtId="20" fontId="27" fillId="0" borderId="0" applyFont="0" applyFill="0" applyBorder="0" applyAlignment="0" applyProtection="0"/>
    <xf numFmtId="22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8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0" fontId="27" fillId="0" borderId="0" applyNumberFormat="0" applyFont="0" applyFill="0" applyBorder="0" applyProtection="0">
      <alignment horizontal="left" vertical="center"/>
    </xf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20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8" fontId="27" fillId="0" borderId="0" applyFont="0" applyFill="0" applyBorder="0" applyAlignment="0" applyProtection="0"/>
    <xf numFmtId="1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10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9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8" fontId="27" fillId="0" borderId="0" applyFont="0" applyFill="0" applyBorder="0" applyAlignment="0" applyProtection="0"/>
    <xf numFmtId="0" fontId="27" fillId="0" borderId="0"/>
    <xf numFmtId="3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4" fontId="27" fillId="0" borderId="0" applyFont="0" applyFill="0" applyBorder="0" applyAlignment="0" applyProtection="0"/>
    <xf numFmtId="20" fontId="27" fillId="0" borderId="0" applyFont="0" applyFill="0" applyBorder="0" applyAlignment="0" applyProtection="0"/>
    <xf numFmtId="22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8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4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22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171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2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4" fontId="27" fillId="0" borderId="0" applyFont="0" applyFill="0" applyBorder="0" applyAlignment="0" applyProtection="0"/>
    <xf numFmtId="20" fontId="27" fillId="0" borderId="0" applyFont="0" applyFill="0" applyBorder="0" applyAlignment="0" applyProtection="0"/>
    <xf numFmtId="22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8" fontId="27" fillId="0" borderId="0" applyFont="0" applyFill="0" applyBorder="0" applyAlignment="0" applyProtection="0"/>
    <xf numFmtId="0" fontId="27" fillId="0" borderId="0" applyNumberFormat="0" applyFont="0" applyFill="0" applyBorder="0" applyProtection="0">
      <alignment horizontal="left" vertical="center"/>
    </xf>
    <xf numFmtId="0" fontId="27" fillId="0" borderId="0" applyNumberFormat="0" applyFont="0" applyFill="0" applyBorder="0" applyProtection="0">
      <alignment horizontal="left" vertical="center"/>
    </xf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</cellStyleXfs>
  <cellXfs count="774">
    <xf numFmtId="0" fontId="0" fillId="0" borderId="0" xfId="0"/>
    <xf numFmtId="0" fontId="20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20" fillId="0" borderId="0" xfId="0" applyFont="1" applyFill="1" applyProtection="1">
      <protection hidden="1"/>
    </xf>
    <xf numFmtId="3" fontId="20" fillId="0" borderId="0" xfId="0" applyNumberFormat="1" applyFont="1" applyFill="1" applyProtection="1">
      <protection hidden="1"/>
    </xf>
    <xf numFmtId="166" fontId="20" fillId="0" borderId="0" xfId="0" applyNumberFormat="1" applyFont="1" applyFill="1" applyProtection="1">
      <protection hidden="1"/>
    </xf>
    <xf numFmtId="164" fontId="20" fillId="0" borderId="0" xfId="0" applyNumberFormat="1" applyFont="1" applyFill="1" applyProtection="1">
      <protection hidden="1"/>
    </xf>
    <xf numFmtId="4" fontId="20" fillId="0" borderId="0" xfId="0" applyNumberFormat="1" applyFont="1" applyFill="1" applyProtection="1">
      <protection hidden="1"/>
    </xf>
    <xf numFmtId="167" fontId="21" fillId="0" borderId="0" xfId="0" applyNumberFormat="1" applyFont="1" applyFill="1" applyBorder="1" applyAlignment="1" applyProtection="1">
      <protection hidden="1"/>
    </xf>
    <xf numFmtId="0" fontId="26" fillId="0" borderId="0" xfId="0" applyFont="1" applyFill="1" applyProtection="1">
      <protection hidden="1"/>
    </xf>
    <xf numFmtId="3" fontId="20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0" fontId="19" fillId="40" borderId="16" xfId="0" applyFont="1" applyFill="1" applyBorder="1" applyAlignment="1" applyProtection="1">
      <protection hidden="1"/>
    </xf>
    <xf numFmtId="167" fontId="23" fillId="40" borderId="17" xfId="0" applyNumberFormat="1" applyFont="1" applyFill="1" applyBorder="1" applyAlignment="1" applyProtection="1">
      <alignment horizontal="center" wrapText="1"/>
      <protection hidden="1"/>
    </xf>
    <xf numFmtId="167" fontId="23" fillId="40" borderId="18" xfId="0" applyNumberFormat="1" applyFont="1" applyFill="1" applyBorder="1" applyAlignment="1" applyProtection="1">
      <alignment horizontal="center" wrapText="1"/>
      <protection hidden="1"/>
    </xf>
    <xf numFmtId="3" fontId="23" fillId="38" borderId="13" xfId="0" applyNumberFormat="1" applyFont="1" applyFill="1" applyBorder="1" applyAlignment="1" applyProtection="1">
      <alignment horizontal="center" wrapText="1"/>
      <protection hidden="1"/>
    </xf>
    <xf numFmtId="166" fontId="23" fillId="38" borderId="13" xfId="0" applyNumberFormat="1" applyFont="1" applyFill="1" applyBorder="1" applyAlignment="1" applyProtection="1">
      <alignment horizontal="center" wrapText="1"/>
      <protection hidden="1"/>
    </xf>
    <xf numFmtId="167" fontId="23" fillId="38" borderId="10" xfId="0" applyNumberFormat="1" applyFont="1" applyFill="1" applyBorder="1" applyAlignment="1" applyProtection="1">
      <alignment horizontal="center" wrapText="1"/>
      <protection hidden="1"/>
    </xf>
    <xf numFmtId="0" fontId="0" fillId="38" borderId="11" xfId="0" applyFill="1" applyBorder="1" applyAlignment="1" applyProtection="1">
      <alignment horizontal="center"/>
      <protection hidden="1"/>
    </xf>
    <xf numFmtId="0" fontId="0" fillId="38" borderId="12" xfId="0" applyFill="1" applyBorder="1" applyAlignment="1" applyProtection="1">
      <alignment horizontal="center"/>
      <protection hidden="1"/>
    </xf>
    <xf numFmtId="164" fontId="23" fillId="38" borderId="14" xfId="0" applyNumberFormat="1" applyFont="1" applyFill="1" applyBorder="1" applyAlignment="1" applyProtection="1">
      <alignment horizontal="center" wrapText="1"/>
      <protection hidden="1"/>
    </xf>
    <xf numFmtId="4" fontId="23" fillId="38" borderId="14" xfId="0" applyNumberFormat="1" applyFont="1" applyFill="1" applyBorder="1" applyAlignment="1" applyProtection="1">
      <alignment horizontal="center" wrapText="1"/>
      <protection hidden="1"/>
    </xf>
    <xf numFmtId="0" fontId="0" fillId="38" borderId="12" xfId="0" applyFill="1" applyBorder="1" applyAlignment="1" applyProtection="1">
      <alignment horizontal="center" wrapText="1"/>
      <protection hidden="1"/>
    </xf>
    <xf numFmtId="0" fontId="19" fillId="40" borderId="21" xfId="0" applyFont="1" applyFill="1" applyBorder="1" applyAlignment="1" applyProtection="1">
      <protection hidden="1"/>
    </xf>
    <xf numFmtId="0" fontId="19" fillId="40" borderId="22" xfId="0" applyFont="1" applyFill="1" applyBorder="1" applyAlignment="1" applyProtection="1">
      <alignment horizontal="center"/>
      <protection hidden="1"/>
    </xf>
    <xf numFmtId="167" fontId="23" fillId="40" borderId="23" xfId="0" applyNumberFormat="1" applyFont="1" applyFill="1" applyBorder="1" applyAlignment="1" applyProtection="1">
      <alignment horizontal="center" wrapText="1"/>
      <protection hidden="1"/>
    </xf>
    <xf numFmtId="3" fontId="20" fillId="38" borderId="13" xfId="0" applyNumberFormat="1" applyFont="1" applyFill="1" applyBorder="1" applyAlignment="1" applyProtection="1">
      <alignment horizontal="center" wrapText="1"/>
      <protection hidden="1"/>
    </xf>
    <xf numFmtId="166" fontId="20" fillId="38" borderId="13" xfId="0" applyNumberFormat="1" applyFont="1" applyFill="1" applyBorder="1" applyAlignment="1" applyProtection="1">
      <alignment horizontal="center" wrapText="1"/>
      <protection hidden="1"/>
    </xf>
    <xf numFmtId="3" fontId="23" fillId="38" borderId="13" xfId="0" applyNumberFormat="1" applyFont="1" applyFill="1" applyBorder="1" applyAlignment="1" applyProtection="1">
      <alignment horizontal="center" wrapText="1"/>
      <protection hidden="1"/>
    </xf>
    <xf numFmtId="0" fontId="0" fillId="38" borderId="15" xfId="0" applyFill="1" applyBorder="1" applyAlignment="1" applyProtection="1">
      <alignment horizontal="center" wrapText="1"/>
      <protection hidden="1"/>
    </xf>
    <xf numFmtId="167" fontId="23" fillId="38" borderId="13" xfId="0" applyNumberFormat="1" applyFont="1" applyFill="1" applyBorder="1" applyAlignment="1" applyProtection="1">
      <alignment horizontal="center" wrapText="1"/>
      <protection hidden="1"/>
    </xf>
    <xf numFmtId="0" fontId="33" fillId="0" borderId="13" xfId="0" applyFont="1" applyFill="1" applyBorder="1" applyProtection="1">
      <protection hidden="1"/>
    </xf>
    <xf numFmtId="167" fontId="20" fillId="0" borderId="11" xfId="0" applyNumberFormat="1" applyFont="1" applyFill="1" applyBorder="1" applyAlignment="1" applyProtection="1">
      <protection hidden="1"/>
    </xf>
    <xf numFmtId="165" fontId="27" fillId="0" borderId="12" xfId="0" applyNumberFormat="1" applyFont="1" applyFill="1" applyBorder="1" applyAlignment="1" applyProtection="1">
      <alignment wrapText="1"/>
      <protection hidden="1"/>
    </xf>
    <xf numFmtId="3" fontId="21" fillId="0" borderId="13" xfId="0" applyNumberFormat="1" applyFont="1" applyFill="1" applyBorder="1" applyAlignment="1" applyProtection="1">
      <protection hidden="1"/>
    </xf>
    <xf numFmtId="164" fontId="20" fillId="0" borderId="13" xfId="0" applyNumberFormat="1" applyFont="1" applyFill="1" applyBorder="1" applyAlignment="1" applyProtection="1">
      <protection hidden="1"/>
    </xf>
    <xf numFmtId="166" fontId="21" fillId="0" borderId="13" xfId="0" applyNumberFormat="1" applyFont="1" applyFill="1" applyBorder="1" applyAlignment="1" applyProtection="1">
      <protection hidden="1"/>
    </xf>
    <xf numFmtId="164" fontId="21" fillId="0" borderId="13" xfId="0" applyNumberFormat="1" applyFont="1" applyFill="1" applyBorder="1" applyAlignment="1" applyProtection="1">
      <protection hidden="1"/>
    </xf>
    <xf numFmtId="165" fontId="27" fillId="0" borderId="13" xfId="0" applyNumberFormat="1" applyFont="1" applyFill="1" applyBorder="1" applyAlignment="1" applyProtection="1">
      <protection hidden="1"/>
    </xf>
    <xf numFmtId="165" fontId="20" fillId="0" borderId="12" xfId="0" applyNumberFormat="1" applyFont="1" applyFill="1" applyBorder="1" applyAlignment="1" applyProtection="1">
      <protection hidden="1"/>
    </xf>
    <xf numFmtId="0" fontId="22" fillId="38" borderId="13" xfId="0" applyFont="1" applyFill="1" applyBorder="1" applyProtection="1">
      <protection hidden="1"/>
    </xf>
    <xf numFmtId="167" fontId="19" fillId="38" borderId="11" xfId="0" applyNumberFormat="1" applyFont="1" applyFill="1" applyBorder="1" applyAlignment="1" applyProtection="1">
      <protection hidden="1"/>
    </xf>
    <xf numFmtId="165" fontId="19" fillId="38" borderId="12" xfId="0" applyNumberFormat="1" applyFont="1" applyFill="1" applyBorder="1" applyAlignment="1" applyProtection="1">
      <protection hidden="1"/>
    </xf>
    <xf numFmtId="3" fontId="19" fillId="40" borderId="13" xfId="0" applyNumberFormat="1" applyFont="1" applyFill="1" applyBorder="1" applyAlignment="1" applyProtection="1">
      <protection hidden="1"/>
    </xf>
    <xf numFmtId="166" fontId="19" fillId="40" borderId="13" xfId="0" applyNumberFormat="1" applyFont="1" applyFill="1" applyBorder="1" applyAlignment="1" applyProtection="1">
      <protection hidden="1"/>
    </xf>
    <xf numFmtId="164" fontId="19" fillId="40" borderId="13" xfId="0" applyNumberFormat="1" applyFont="1" applyFill="1" applyBorder="1" applyAlignment="1" applyProtection="1">
      <protection hidden="1"/>
    </xf>
    <xf numFmtId="165" fontId="19" fillId="40" borderId="13" xfId="0" applyNumberFormat="1" applyFont="1" applyFill="1" applyBorder="1" applyAlignment="1" applyProtection="1">
      <protection hidden="1"/>
    </xf>
    <xf numFmtId="0" fontId="22" fillId="40" borderId="10" xfId="0" applyFont="1" applyFill="1" applyBorder="1" applyAlignment="1" applyProtection="1">
      <alignment horizontal="right"/>
      <protection hidden="1"/>
    </xf>
    <xf numFmtId="0" fontId="16" fillId="33" borderId="11" xfId="0" applyFont="1" applyFill="1" applyBorder="1" applyAlignment="1" applyProtection="1">
      <protection hidden="1"/>
    </xf>
    <xf numFmtId="3" fontId="16" fillId="40" borderId="13" xfId="0" applyNumberFormat="1" applyFont="1" applyFill="1" applyBorder="1" applyAlignment="1" applyProtection="1">
      <protection hidden="1"/>
    </xf>
    <xf numFmtId="3" fontId="0" fillId="41" borderId="13" xfId="0" applyNumberFormat="1" applyFill="1" applyBorder="1" applyAlignment="1" applyProtection="1">
      <protection hidden="1"/>
    </xf>
    <xf numFmtId="166" fontId="0" fillId="41" borderId="13" xfId="0" applyNumberFormat="1" applyFill="1" applyBorder="1" applyAlignment="1" applyProtection="1">
      <protection hidden="1"/>
    </xf>
    <xf numFmtId="166" fontId="16" fillId="40" borderId="13" xfId="0" applyNumberFormat="1" applyFont="1" applyFill="1" applyBorder="1" applyAlignment="1" applyProtection="1">
      <protection hidden="1"/>
    </xf>
    <xf numFmtId="3" fontId="0" fillId="41" borderId="10" xfId="0" applyNumberFormat="1" applyFill="1" applyBorder="1" applyAlignment="1" applyProtection="1">
      <protection hidden="1"/>
    </xf>
    <xf numFmtId="0" fontId="22" fillId="0" borderId="0" xfId="0" applyFont="1" applyFill="1" applyBorder="1" applyProtection="1">
      <protection hidden="1"/>
    </xf>
    <xf numFmtId="167" fontId="19" fillId="0" borderId="0" xfId="0" applyNumberFormat="1" applyFont="1" applyFill="1" applyBorder="1" applyAlignment="1" applyProtection="1">
      <protection hidden="1"/>
    </xf>
    <xf numFmtId="165" fontId="19" fillId="0" borderId="0" xfId="0" applyNumberFormat="1" applyFont="1" applyFill="1" applyBorder="1" applyAlignment="1" applyProtection="1">
      <protection hidden="1"/>
    </xf>
    <xf numFmtId="3" fontId="20" fillId="0" borderId="0" xfId="0" applyNumberFormat="1" applyFont="1" applyFill="1" applyBorder="1" applyAlignment="1" applyProtection="1">
      <protection hidden="1"/>
    </xf>
    <xf numFmtId="164" fontId="20" fillId="0" borderId="0" xfId="0" applyNumberFormat="1" applyFont="1" applyFill="1" applyBorder="1" applyAlignment="1" applyProtection="1">
      <protection hidden="1"/>
    </xf>
    <xf numFmtId="4" fontId="20" fillId="0" borderId="0" xfId="0" applyNumberFormat="1" applyFont="1" applyFill="1" applyBorder="1" applyAlignment="1" applyProtection="1">
      <protection hidden="1"/>
    </xf>
    <xf numFmtId="165" fontId="20" fillId="0" borderId="0" xfId="0" applyNumberFormat="1" applyFont="1" applyFill="1" applyBorder="1" applyAlignment="1" applyProtection="1">
      <protection hidden="1"/>
    </xf>
    <xf numFmtId="0" fontId="23" fillId="41" borderId="14" xfId="0" applyFont="1" applyFill="1" applyBorder="1" applyProtection="1">
      <protection hidden="1"/>
    </xf>
    <xf numFmtId="0" fontId="22" fillId="41" borderId="14" xfId="0" applyFont="1" applyFill="1" applyBorder="1" applyProtection="1">
      <protection hidden="1"/>
    </xf>
    <xf numFmtId="3" fontId="23" fillId="41" borderId="14" xfId="0" applyNumberFormat="1" applyFont="1" applyFill="1" applyBorder="1" applyProtection="1">
      <protection hidden="1"/>
    </xf>
    <xf numFmtId="3" fontId="23" fillId="41" borderId="13" xfId="0" applyNumberFormat="1" applyFont="1" applyFill="1" applyBorder="1" applyAlignment="1" applyProtection="1">
      <alignment horizontal="center" wrapText="1"/>
      <protection hidden="1"/>
    </xf>
    <xf numFmtId="166" fontId="23" fillId="41" borderId="13" xfId="0" applyNumberFormat="1" applyFont="1" applyFill="1" applyBorder="1" applyAlignment="1" applyProtection="1">
      <alignment horizontal="center" wrapText="1"/>
      <protection hidden="1"/>
    </xf>
    <xf numFmtId="167" fontId="23" fillId="41" borderId="10" xfId="0" applyNumberFormat="1" applyFont="1" applyFill="1" applyBorder="1" applyAlignment="1" applyProtection="1">
      <alignment horizontal="center" wrapText="1"/>
      <protection hidden="1"/>
    </xf>
    <xf numFmtId="0" fontId="20" fillId="36" borderId="11" xfId="0" applyFont="1" applyFill="1" applyBorder="1" applyAlignment="1" applyProtection="1">
      <alignment horizontal="center"/>
      <protection hidden="1"/>
    </xf>
    <xf numFmtId="0" fontId="20" fillId="36" borderId="12" xfId="0" applyFont="1" applyFill="1" applyBorder="1" applyAlignment="1" applyProtection="1">
      <alignment horizontal="center"/>
      <protection hidden="1"/>
    </xf>
    <xf numFmtId="4" fontId="23" fillId="41" borderId="16" xfId="0" applyNumberFormat="1" applyFont="1" applyFill="1" applyBorder="1" applyAlignment="1" applyProtection="1">
      <alignment horizontal="center" wrapText="1"/>
      <protection hidden="1"/>
    </xf>
    <xf numFmtId="0" fontId="0" fillId="36" borderId="12" xfId="0" applyFill="1" applyBorder="1" applyAlignment="1" applyProtection="1">
      <alignment horizontal="center" wrapText="1"/>
      <protection hidden="1"/>
    </xf>
    <xf numFmtId="0" fontId="23" fillId="0" borderId="0" xfId="0" applyFont="1" applyProtection="1">
      <protection hidden="1"/>
    </xf>
    <xf numFmtId="0" fontId="23" fillId="41" borderId="15" xfId="0" applyFont="1" applyFill="1" applyBorder="1" applyProtection="1">
      <protection hidden="1"/>
    </xf>
    <xf numFmtId="3" fontId="23" fillId="41" borderId="15" xfId="0" applyNumberFormat="1" applyFont="1" applyFill="1" applyBorder="1" applyProtection="1">
      <protection hidden="1"/>
    </xf>
    <xf numFmtId="3" fontId="20" fillId="34" borderId="13" xfId="0" applyNumberFormat="1" applyFont="1" applyFill="1" applyBorder="1" applyAlignment="1" applyProtection="1">
      <alignment horizontal="center" wrapText="1"/>
      <protection hidden="1"/>
    </xf>
    <xf numFmtId="166" fontId="20" fillId="34" borderId="13" xfId="0" applyNumberFormat="1" applyFont="1" applyFill="1" applyBorder="1" applyAlignment="1" applyProtection="1">
      <alignment horizontal="center" wrapText="1"/>
      <protection hidden="1"/>
    </xf>
    <xf numFmtId="3" fontId="23" fillId="41" borderId="13" xfId="0" applyNumberFormat="1" applyFont="1" applyFill="1" applyBorder="1" applyAlignment="1" applyProtection="1">
      <alignment horizontal="center" wrapText="1"/>
      <protection hidden="1"/>
    </xf>
    <xf numFmtId="164" fontId="23" fillId="41" borderId="13" xfId="0" applyNumberFormat="1" applyFont="1" applyFill="1" applyBorder="1" applyAlignment="1" applyProtection="1">
      <alignment horizontal="center" wrapText="1"/>
      <protection hidden="1"/>
    </xf>
    <xf numFmtId="4" fontId="20" fillId="36" borderId="21" xfId="0" applyNumberFormat="1" applyFont="1" applyFill="1" applyBorder="1" applyAlignment="1" applyProtection="1">
      <alignment horizontal="center" wrapText="1"/>
      <protection hidden="1"/>
    </xf>
    <xf numFmtId="167" fontId="23" fillId="41" borderId="13" xfId="0" applyNumberFormat="1" applyFont="1" applyFill="1" applyBorder="1" applyAlignment="1" applyProtection="1">
      <alignment horizontal="center" wrapText="1"/>
      <protection hidden="1"/>
    </xf>
    <xf numFmtId="0" fontId="26" fillId="41" borderId="10" xfId="0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protection hidden="1"/>
    </xf>
    <xf numFmtId="3" fontId="26" fillId="41" borderId="13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protection hidden="1"/>
    </xf>
    <xf numFmtId="0" fontId="20" fillId="0" borderId="0" xfId="0" applyFont="1" applyFill="1" applyAlignment="1" applyProtection="1">
      <protection hidden="1"/>
    </xf>
    <xf numFmtId="0" fontId="36" fillId="40" borderId="10" xfId="0" applyFont="1" applyFill="1" applyBorder="1" applyProtection="1">
      <protection hidden="1"/>
    </xf>
    <xf numFmtId="0" fontId="36" fillId="40" borderId="11" xfId="0" applyFont="1" applyFill="1" applyBorder="1" applyProtection="1">
      <protection hidden="1"/>
    </xf>
    <xf numFmtId="0" fontId="32" fillId="40" borderId="11" xfId="0" applyFont="1" applyFill="1" applyBorder="1" applyProtection="1">
      <protection hidden="1"/>
    </xf>
    <xf numFmtId="3" fontId="32" fillId="40" borderId="12" xfId="0" applyNumberFormat="1" applyFont="1" applyFill="1" applyBorder="1" applyProtection="1">
      <protection hidden="1"/>
    </xf>
    <xf numFmtId="3" fontId="32" fillId="38" borderId="13" xfId="0" applyNumberFormat="1" applyFont="1" applyFill="1" applyBorder="1" applyAlignment="1" applyProtection="1">
      <alignment horizontal="center" wrapText="1"/>
      <protection hidden="1"/>
    </xf>
    <xf numFmtId="166" fontId="32" fillId="38" borderId="13" xfId="0" applyNumberFormat="1" applyFont="1" applyFill="1" applyBorder="1" applyAlignment="1" applyProtection="1">
      <alignment horizontal="center" wrapText="1"/>
      <protection hidden="1"/>
    </xf>
    <xf numFmtId="167" fontId="32" fillId="38" borderId="10" xfId="0" applyNumberFormat="1" applyFont="1" applyFill="1" applyBorder="1" applyAlignment="1" applyProtection="1">
      <alignment horizontal="center" wrapText="1"/>
      <protection hidden="1"/>
    </xf>
    <xf numFmtId="0" fontId="0" fillId="38" borderId="11" xfId="0" applyFont="1" applyFill="1" applyBorder="1" applyAlignment="1" applyProtection="1">
      <alignment horizontal="center"/>
      <protection hidden="1"/>
    </xf>
    <xf numFmtId="0" fontId="0" fillId="38" borderId="12" xfId="0" applyFont="1" applyFill="1" applyBorder="1" applyAlignment="1" applyProtection="1">
      <alignment horizontal="center"/>
      <protection hidden="1"/>
    </xf>
    <xf numFmtId="4" fontId="32" fillId="38" borderId="16" xfId="0" applyNumberFormat="1" applyFont="1" applyFill="1" applyBorder="1" applyAlignment="1" applyProtection="1">
      <alignment horizontal="center" wrapText="1"/>
      <protection hidden="1"/>
    </xf>
    <xf numFmtId="0" fontId="0" fillId="38" borderId="12" xfId="0" applyFont="1" applyFill="1" applyBorder="1" applyAlignment="1" applyProtection="1">
      <alignment horizontal="center" wrapText="1"/>
      <protection hidden="1"/>
    </xf>
    <xf numFmtId="0" fontId="32" fillId="40" borderId="15" xfId="0" applyFont="1" applyFill="1" applyBorder="1" applyProtection="1">
      <protection hidden="1"/>
    </xf>
    <xf numFmtId="0" fontId="32" fillId="40" borderId="23" xfId="0" applyFont="1" applyFill="1" applyBorder="1" applyProtection="1">
      <protection hidden="1"/>
    </xf>
    <xf numFmtId="3" fontId="32" fillId="40" borderId="15" xfId="0" applyNumberFormat="1" applyFont="1" applyFill="1" applyBorder="1" applyProtection="1">
      <protection hidden="1"/>
    </xf>
    <xf numFmtId="3" fontId="0" fillId="38" borderId="13" xfId="0" applyNumberFormat="1" applyFont="1" applyFill="1" applyBorder="1" applyAlignment="1" applyProtection="1">
      <alignment horizontal="center" wrapText="1"/>
      <protection hidden="1"/>
    </xf>
    <xf numFmtId="166" fontId="0" fillId="38" borderId="13" xfId="0" applyNumberFormat="1" applyFont="1" applyFill="1" applyBorder="1" applyAlignment="1" applyProtection="1">
      <alignment horizontal="center" wrapText="1"/>
      <protection hidden="1"/>
    </xf>
    <xf numFmtId="3" fontId="32" fillId="38" borderId="13" xfId="0" applyNumberFormat="1" applyFont="1" applyFill="1" applyBorder="1" applyAlignment="1" applyProtection="1">
      <alignment horizontal="center" wrapText="1"/>
      <protection hidden="1"/>
    </xf>
    <xf numFmtId="164" fontId="32" fillId="38" borderId="13" xfId="0" applyNumberFormat="1" applyFont="1" applyFill="1" applyBorder="1" applyAlignment="1" applyProtection="1">
      <alignment horizontal="center" wrapText="1"/>
      <protection hidden="1"/>
    </xf>
    <xf numFmtId="4" fontId="0" fillId="38" borderId="21" xfId="0" applyNumberFormat="1" applyFont="1" applyFill="1" applyBorder="1" applyAlignment="1" applyProtection="1">
      <alignment horizontal="center" wrapText="1"/>
      <protection hidden="1"/>
    </xf>
    <xf numFmtId="167" fontId="32" fillId="38" borderId="13" xfId="0" applyNumberFormat="1" applyFont="1" applyFill="1" applyBorder="1" applyAlignment="1" applyProtection="1">
      <alignment horizontal="center" wrapText="1"/>
      <protection hidden="1"/>
    </xf>
    <xf numFmtId="0" fontId="37" fillId="40" borderId="10" xfId="0" applyFont="1" applyFill="1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right"/>
      <protection hidden="1"/>
    </xf>
    <xf numFmtId="3" fontId="37" fillId="40" borderId="13" xfId="0" applyNumberFormat="1" applyFont="1" applyFill="1" applyBorder="1" applyAlignment="1" applyProtection="1">
      <alignment horizontal="center" wrapText="1"/>
      <protection hidden="1"/>
    </xf>
    <xf numFmtId="0" fontId="0" fillId="0" borderId="24" xfId="0" applyFont="1" applyFill="1" applyBorder="1" applyProtection="1">
      <protection hidden="1"/>
    </xf>
    <xf numFmtId="49" fontId="0" fillId="0" borderId="13" xfId="0" applyNumberFormat="1" applyFont="1" applyBorder="1" applyProtection="1">
      <protection hidden="1"/>
    </xf>
    <xf numFmtId="0" fontId="0" fillId="0" borderId="24" xfId="75" applyNumberFormat="1" applyFont="1" applyBorder="1" applyAlignment="1" applyProtection="1">
      <alignment horizontal="center"/>
      <protection hidden="1"/>
    </xf>
    <xf numFmtId="175" fontId="0" fillId="0" borderId="24" xfId="655" applyNumberFormat="1" applyFont="1" applyBorder="1" applyAlignment="1" applyProtection="1">
      <alignment horizontal="right"/>
      <protection hidden="1"/>
    </xf>
    <xf numFmtId="164" fontId="0" fillId="0" borderId="13" xfId="0" applyNumberFormat="1" applyFont="1" applyFill="1" applyBorder="1" applyAlignment="1" applyProtection="1">
      <alignment horizontal="right"/>
      <protection hidden="1"/>
    </xf>
    <xf numFmtId="0" fontId="0" fillId="0" borderId="24" xfId="75" applyNumberFormat="1" applyFont="1" applyBorder="1" applyAlignment="1" applyProtection="1">
      <alignment horizontal="right"/>
      <protection hidden="1"/>
    </xf>
    <xf numFmtId="164" fontId="0" fillId="0" borderId="24" xfId="75" applyNumberFormat="1" applyFont="1" applyBorder="1" applyAlignment="1" applyProtection="1">
      <alignment horizontal="right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164" fontId="0" fillId="0" borderId="24" xfId="0" applyNumberFormat="1" applyFont="1" applyFill="1" applyBorder="1" applyAlignment="1" applyProtection="1">
      <alignment horizontal="right"/>
      <protection hidden="1"/>
    </xf>
    <xf numFmtId="0" fontId="30" fillId="39" borderId="24" xfId="0" applyFont="1" applyFill="1" applyBorder="1" applyAlignment="1" applyProtection="1">
      <alignment horizontal="right"/>
      <protection hidden="1"/>
    </xf>
    <xf numFmtId="175" fontId="0" fillId="39" borderId="24" xfId="655" applyNumberFormat="1" applyFont="1" applyFill="1" applyBorder="1" applyAlignment="1" applyProtection="1">
      <alignment horizontal="right"/>
      <protection hidden="1"/>
    </xf>
    <xf numFmtId="164" fontId="0" fillId="39" borderId="13" xfId="0" applyNumberFormat="1" applyFont="1" applyFill="1" applyBorder="1" applyAlignment="1" applyProtection="1">
      <alignment horizontal="right"/>
      <protection hidden="1"/>
    </xf>
    <xf numFmtId="0" fontId="0" fillId="39" borderId="24" xfId="75" applyNumberFormat="1" applyFont="1" applyFill="1" applyBorder="1" applyAlignment="1" applyProtection="1">
      <alignment horizontal="right"/>
      <protection hidden="1"/>
    </xf>
    <xf numFmtId="0" fontId="0" fillId="39" borderId="24" xfId="0" applyFont="1" applyFill="1" applyBorder="1" applyAlignment="1" applyProtection="1">
      <alignment horizontal="right"/>
      <protection hidden="1"/>
    </xf>
    <xf numFmtId="49" fontId="0" fillId="0" borderId="12" xfId="0" applyNumberFormat="1" applyFont="1" applyBorder="1" applyProtection="1">
      <protection hidden="1"/>
    </xf>
    <xf numFmtId="0" fontId="33" fillId="40" borderId="16" xfId="0" applyFont="1" applyFill="1" applyBorder="1" applyProtection="1">
      <protection hidden="1"/>
    </xf>
    <xf numFmtId="0" fontId="36" fillId="40" borderId="18" xfId="0" applyFont="1" applyFill="1" applyBorder="1" applyProtection="1">
      <protection hidden="1"/>
    </xf>
    <xf numFmtId="3" fontId="36" fillId="40" borderId="13" xfId="0" applyNumberFormat="1" applyFont="1" applyFill="1" applyBorder="1" applyProtection="1">
      <protection hidden="1"/>
    </xf>
    <xf numFmtId="3" fontId="16" fillId="40" borderId="13" xfId="0" applyNumberFormat="1" applyFont="1" applyFill="1" applyBorder="1" applyProtection="1">
      <protection hidden="1"/>
    </xf>
    <xf numFmtId="4" fontId="36" fillId="40" borderId="13" xfId="0" applyNumberFormat="1" applyFont="1" applyFill="1" applyBorder="1" applyProtection="1">
      <protection hidden="1"/>
    </xf>
    <xf numFmtId="164" fontId="36" fillId="40" borderId="13" xfId="0" applyNumberFormat="1" applyFont="1" applyFill="1" applyBorder="1" applyProtection="1">
      <protection hidden="1"/>
    </xf>
    <xf numFmtId="0" fontId="32" fillId="40" borderId="13" xfId="0" applyFont="1" applyFill="1" applyBorder="1" applyAlignment="1" applyProtection="1">
      <alignment horizontal="center"/>
      <protection hidden="1"/>
    </xf>
    <xf numFmtId="0" fontId="32" fillId="40" borderId="24" xfId="80" applyFont="1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2" fontId="33" fillId="40" borderId="19" xfId="0" applyNumberFormat="1" applyFont="1" applyFill="1" applyBorder="1" applyProtection="1">
      <protection hidden="1"/>
    </xf>
    <xf numFmtId="2" fontId="36" fillId="40" borderId="20" xfId="0" applyNumberFormat="1" applyFont="1" applyFill="1" applyBorder="1" applyProtection="1">
      <protection hidden="1"/>
    </xf>
    <xf numFmtId="2" fontId="36" fillId="40" borderId="11" xfId="0" applyNumberFormat="1" applyFont="1" applyFill="1" applyBorder="1" applyProtection="1">
      <protection hidden="1"/>
    </xf>
    <xf numFmtId="166" fontId="36" fillId="40" borderId="13" xfId="0" applyNumberFormat="1" applyFont="1" applyFill="1" applyBorder="1" applyProtection="1">
      <protection hidden="1"/>
    </xf>
    <xf numFmtId="0" fontId="30" fillId="40" borderId="24" xfId="80" applyFont="1" applyFill="1" applyBorder="1" applyProtection="1">
      <protection hidden="1"/>
    </xf>
    <xf numFmtId="2" fontId="23" fillId="0" borderId="0" xfId="0" applyNumberFormat="1" applyFont="1" applyProtection="1">
      <protection hidden="1"/>
    </xf>
    <xf numFmtId="2" fontId="32" fillId="40" borderId="0" xfId="0" applyNumberFormat="1" applyFont="1" applyFill="1" applyProtection="1">
      <protection hidden="1"/>
    </xf>
    <xf numFmtId="2" fontId="33" fillId="40" borderId="21" xfId="0" applyNumberFormat="1" applyFont="1" applyFill="1" applyBorder="1" applyProtection="1">
      <protection hidden="1"/>
    </xf>
    <xf numFmtId="2" fontId="36" fillId="40" borderId="23" xfId="0" applyNumberFormat="1" applyFont="1" applyFill="1" applyBorder="1" applyProtection="1">
      <protection hidden="1"/>
    </xf>
    <xf numFmtId="1" fontId="36" fillId="40" borderId="13" xfId="0" applyNumberFormat="1" applyFont="1" applyFill="1" applyBorder="1" applyProtection="1">
      <protection hidden="1"/>
    </xf>
    <xf numFmtId="165" fontId="36" fillId="40" borderId="13" xfId="0" applyNumberFormat="1" applyFont="1" applyFill="1" applyBorder="1" applyProtection="1">
      <protection hidden="1"/>
    </xf>
    <xf numFmtId="165" fontId="32" fillId="40" borderId="13" xfId="0" applyNumberFormat="1" applyFont="1" applyFill="1" applyBorder="1" applyAlignment="1" applyProtection="1">
      <alignment horizontal="center"/>
      <protection hidden="1"/>
    </xf>
    <xf numFmtId="10" fontId="32" fillId="40" borderId="24" xfId="8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22" fillId="38" borderId="10" xfId="0" applyFont="1" applyFill="1" applyBorder="1" applyProtection="1">
      <protection hidden="1"/>
    </xf>
    <xf numFmtId="0" fontId="22" fillId="38" borderId="11" xfId="0" applyFont="1" applyFill="1" applyBorder="1" applyProtection="1">
      <protection hidden="1"/>
    </xf>
    <xf numFmtId="0" fontId="23" fillId="38" borderId="11" xfId="0" applyFont="1" applyFill="1" applyBorder="1" applyProtection="1">
      <protection hidden="1"/>
    </xf>
    <xf numFmtId="3" fontId="23" fillId="38" borderId="12" xfId="0" applyNumberFormat="1" applyFont="1" applyFill="1" applyBorder="1" applyProtection="1">
      <protection hidden="1"/>
    </xf>
    <xf numFmtId="0" fontId="20" fillId="38" borderId="11" xfId="0" applyFont="1" applyFill="1" applyBorder="1" applyAlignment="1" applyProtection="1">
      <alignment horizontal="center"/>
      <protection hidden="1"/>
    </xf>
    <xf numFmtId="0" fontId="20" fillId="38" borderId="12" xfId="0" applyFont="1" applyFill="1" applyBorder="1" applyAlignment="1" applyProtection="1">
      <alignment horizontal="center"/>
      <protection hidden="1"/>
    </xf>
    <xf numFmtId="4" fontId="23" fillId="38" borderId="16" xfId="0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Fill="1" applyProtection="1">
      <protection hidden="1"/>
    </xf>
    <xf numFmtId="0" fontId="23" fillId="38" borderId="15" xfId="0" applyFont="1" applyFill="1" applyBorder="1" applyProtection="1">
      <protection hidden="1"/>
    </xf>
    <xf numFmtId="0" fontId="23" fillId="38" borderId="23" xfId="0" applyFont="1" applyFill="1" applyBorder="1" applyProtection="1">
      <protection hidden="1"/>
    </xf>
    <xf numFmtId="3" fontId="23" fillId="38" borderId="15" xfId="0" applyNumberFormat="1" applyFont="1" applyFill="1" applyBorder="1" applyProtection="1">
      <protection hidden="1"/>
    </xf>
    <xf numFmtId="164" fontId="23" fillId="38" borderId="13" xfId="0" applyNumberFormat="1" applyFont="1" applyFill="1" applyBorder="1" applyAlignment="1" applyProtection="1">
      <alignment horizontal="center" wrapText="1"/>
      <protection hidden="1"/>
    </xf>
    <xf numFmtId="4" fontId="20" fillId="38" borderId="21" xfId="0" applyNumberFormat="1" applyFont="1" applyFill="1" applyBorder="1" applyAlignment="1" applyProtection="1">
      <alignment horizontal="center" wrapText="1"/>
      <protection hidden="1"/>
    </xf>
    <xf numFmtId="0" fontId="26" fillId="40" borderId="10" xfId="0" applyFont="1" applyFill="1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3" fontId="26" fillId="40" borderId="13" xfId="0" applyNumberFormat="1" applyFont="1" applyFill="1" applyBorder="1" applyAlignment="1" applyProtection="1">
      <alignment horizontal="center" wrapText="1"/>
      <protection hidden="1"/>
    </xf>
    <xf numFmtId="0" fontId="0" fillId="0" borderId="24" xfId="0" applyFill="1" applyBorder="1" applyProtection="1">
      <protection hidden="1"/>
    </xf>
    <xf numFmtId="49" fontId="0" fillId="0" borderId="24" xfId="0" applyNumberFormat="1" applyBorder="1" applyProtection="1">
      <protection hidden="1"/>
    </xf>
    <xf numFmtId="164" fontId="0" fillId="0" borderId="13" xfId="0" applyNumberFormat="1" applyFill="1" applyBorder="1" applyAlignment="1" applyProtection="1">
      <alignment horizontal="right"/>
      <protection hidden="1"/>
    </xf>
    <xf numFmtId="0" fontId="0" fillId="0" borderId="24" xfId="75" applyNumberFormat="1" applyFont="1" applyBorder="1" applyProtection="1">
      <protection hidden="1"/>
    </xf>
    <xf numFmtId="164" fontId="0" fillId="0" borderId="24" xfId="75" applyNumberFormat="1" applyFont="1" applyBorder="1" applyProtection="1">
      <protection hidden="1"/>
    </xf>
    <xf numFmtId="0" fontId="0" fillId="0" borderId="24" xfId="0" applyFill="1" applyBorder="1" applyAlignment="1" applyProtection="1">
      <alignment horizontal="center"/>
      <protection hidden="1"/>
    </xf>
    <xf numFmtId="164" fontId="0" fillId="39" borderId="13" xfId="0" applyNumberFormat="1" applyFill="1" applyBorder="1" applyAlignment="1" applyProtection="1">
      <alignment horizontal="right"/>
      <protection hidden="1"/>
    </xf>
    <xf numFmtId="164" fontId="0" fillId="0" borderId="24" xfId="0" applyNumberFormat="1" applyFill="1" applyBorder="1" applyAlignment="1" applyProtection="1">
      <alignment horizontal="right"/>
      <protection hidden="1"/>
    </xf>
    <xf numFmtId="0" fontId="0" fillId="0" borderId="24" xfId="0" applyFill="1" applyBorder="1" applyAlignment="1" applyProtection="1">
      <alignment horizontal="right"/>
      <protection hidden="1"/>
    </xf>
    <xf numFmtId="0" fontId="21" fillId="40" borderId="16" xfId="0" applyFont="1" applyFill="1" applyBorder="1" applyProtection="1">
      <protection hidden="1"/>
    </xf>
    <xf numFmtId="0" fontId="22" fillId="40" borderId="18" xfId="0" applyFont="1" applyFill="1" applyBorder="1" applyProtection="1">
      <protection hidden="1"/>
    </xf>
    <xf numFmtId="49" fontId="22" fillId="40" borderId="11" xfId="0" applyNumberFormat="1" applyFont="1" applyFill="1" applyBorder="1" applyProtection="1">
      <protection hidden="1"/>
    </xf>
    <xf numFmtId="3" fontId="22" fillId="40" borderId="13" xfId="0" applyNumberFormat="1" applyFont="1" applyFill="1" applyBorder="1" applyProtection="1">
      <protection hidden="1"/>
    </xf>
    <xf numFmtId="4" fontId="22" fillId="40" borderId="13" xfId="0" applyNumberFormat="1" applyFont="1" applyFill="1" applyBorder="1" applyProtection="1">
      <protection hidden="1"/>
    </xf>
    <xf numFmtId="4" fontId="23" fillId="40" borderId="24" xfId="64" applyNumberFormat="1" applyFont="1" applyFill="1" applyBorder="1" applyProtection="1">
      <protection hidden="1"/>
    </xf>
    <xf numFmtId="0" fontId="23" fillId="40" borderId="13" xfId="0" applyFont="1" applyFill="1" applyBorder="1" applyAlignment="1" applyProtection="1">
      <alignment horizontal="center"/>
      <protection hidden="1"/>
    </xf>
    <xf numFmtId="2" fontId="21" fillId="40" borderId="19" xfId="0" applyNumberFormat="1" applyFont="1" applyFill="1" applyBorder="1" applyProtection="1">
      <protection hidden="1"/>
    </xf>
    <xf numFmtId="2" fontId="22" fillId="40" borderId="20" xfId="0" applyNumberFormat="1" applyFont="1" applyFill="1" applyBorder="1" applyProtection="1">
      <protection hidden="1"/>
    </xf>
    <xf numFmtId="2" fontId="22" fillId="40" borderId="11" xfId="0" applyNumberFormat="1" applyFont="1" applyFill="1" applyBorder="1" applyProtection="1">
      <protection hidden="1"/>
    </xf>
    <xf numFmtId="166" fontId="22" fillId="40" borderId="13" xfId="0" applyNumberFormat="1" applyFont="1" applyFill="1" applyBorder="1" applyProtection="1">
      <protection hidden="1"/>
    </xf>
    <xf numFmtId="164" fontId="22" fillId="40" borderId="13" xfId="0" applyNumberFormat="1" applyFont="1" applyFill="1" applyBorder="1" applyProtection="1">
      <protection hidden="1"/>
    </xf>
    <xf numFmtId="2" fontId="21" fillId="40" borderId="21" xfId="0" applyNumberFormat="1" applyFont="1" applyFill="1" applyBorder="1" applyProtection="1">
      <protection hidden="1"/>
    </xf>
    <xf numFmtId="2" fontId="22" fillId="40" borderId="23" xfId="0" applyNumberFormat="1" applyFont="1" applyFill="1" applyBorder="1" applyProtection="1">
      <protection hidden="1"/>
    </xf>
    <xf numFmtId="1" fontId="22" fillId="40" borderId="13" xfId="0" applyNumberFormat="1" applyFont="1" applyFill="1" applyBorder="1" applyProtection="1">
      <protection hidden="1"/>
    </xf>
    <xf numFmtId="165" fontId="22" fillId="40" borderId="13" xfId="0" applyNumberFormat="1" applyFont="1" applyFill="1" applyBorder="1" applyProtection="1">
      <protection hidden="1"/>
    </xf>
    <xf numFmtId="165" fontId="23" fillId="40" borderId="13" xfId="0" applyNumberFormat="1" applyFont="1" applyFill="1" applyBorder="1" applyAlignment="1" applyProtection="1">
      <alignment horizontal="center"/>
      <protection hidden="1"/>
    </xf>
    <xf numFmtId="0" fontId="23" fillId="40" borderId="15" xfId="0" applyFont="1" applyFill="1" applyBorder="1" applyProtection="1">
      <protection hidden="1"/>
    </xf>
    <xf numFmtId="0" fontId="23" fillId="40" borderId="23" xfId="0" applyFont="1" applyFill="1" applyBorder="1" applyProtection="1">
      <protection hidden="1"/>
    </xf>
    <xf numFmtId="3" fontId="23" fillId="40" borderId="15" xfId="0" applyNumberFormat="1" applyFont="1" applyFill="1" applyBorder="1" applyProtection="1">
      <protection hidden="1"/>
    </xf>
    <xf numFmtId="0" fontId="0" fillId="0" borderId="24" xfId="0" applyBorder="1" applyProtection="1">
      <protection hidden="1"/>
    </xf>
    <xf numFmtId="0" fontId="0" fillId="0" borderId="24" xfId="42" applyNumberFormat="1" applyFont="1" applyBorder="1" applyAlignment="1" applyProtection="1">
      <alignment horizontal="center"/>
      <protection hidden="1"/>
    </xf>
    <xf numFmtId="3" fontId="0" fillId="0" borderId="13" xfId="0" applyNumberFormat="1" applyFill="1" applyBorder="1" applyAlignment="1" applyProtection="1">
      <alignment horizontal="right"/>
      <protection hidden="1"/>
    </xf>
    <xf numFmtId="0" fontId="0" fillId="0" borderId="24" xfId="75" quotePrefix="1" applyNumberFormat="1" applyFont="1" applyBorder="1" applyProtection="1">
      <protection hidden="1"/>
    </xf>
    <xf numFmtId="0" fontId="0" fillId="0" borderId="13" xfId="0" applyFill="1" applyBorder="1" applyAlignment="1" applyProtection="1">
      <alignment horizontal="center"/>
      <protection hidden="1"/>
    </xf>
    <xf numFmtId="3" fontId="0" fillId="0" borderId="24" xfId="0" applyNumberFormat="1" applyFill="1" applyBorder="1" applyAlignment="1" applyProtection="1">
      <alignment horizontal="right"/>
      <protection hidden="1"/>
    </xf>
    <xf numFmtId="0" fontId="22" fillId="40" borderId="11" xfId="0" applyFont="1" applyFill="1" applyBorder="1" applyProtection="1">
      <protection hidden="1"/>
    </xf>
    <xf numFmtId="49" fontId="30" fillId="0" borderId="24" xfId="670" applyNumberFormat="1" applyFont="1" applyBorder="1" applyAlignment="1" applyProtection="1">
      <alignment horizontal="left" vertical="center"/>
      <protection hidden="1"/>
    </xf>
    <xf numFmtId="166" fontId="0" fillId="0" borderId="13" xfId="0" applyNumberFormat="1" applyFill="1" applyBorder="1" applyAlignment="1" applyProtection="1">
      <alignment horizontal="right"/>
      <protection hidden="1"/>
    </xf>
    <xf numFmtId="0" fontId="0" fillId="39" borderId="24" xfId="0" applyFill="1" applyBorder="1" applyAlignment="1" applyProtection="1">
      <alignment horizontal="right"/>
      <protection hidden="1"/>
    </xf>
    <xf numFmtId="0" fontId="0" fillId="0" borderId="10" xfId="42" applyNumberFormat="1" applyFont="1" applyBorder="1" applyAlignment="1" applyProtection="1">
      <alignment horizontal="center"/>
      <protection hidden="1"/>
    </xf>
    <xf numFmtId="164" fontId="30" fillId="0" borderId="13" xfId="0" applyNumberFormat="1" applyFont="1" applyFill="1" applyBorder="1" applyAlignment="1" applyProtection="1">
      <alignment horizontal="right"/>
      <protection hidden="1"/>
    </xf>
    <xf numFmtId="164" fontId="30" fillId="0" borderId="24" xfId="0" applyNumberFormat="1" applyFont="1" applyFill="1" applyBorder="1" applyAlignment="1" applyProtection="1">
      <alignment horizontal="right"/>
      <protection hidden="1"/>
    </xf>
    <xf numFmtId="0" fontId="0" fillId="0" borderId="0" xfId="42" applyNumberFormat="1" applyFont="1" applyAlignment="1" applyProtection="1">
      <alignment horizontal="center"/>
      <protection hidden="1"/>
    </xf>
    <xf numFmtId="164" fontId="0" fillId="39" borderId="24" xfId="0" applyNumberFormat="1" applyFill="1" applyBorder="1" applyAlignment="1" applyProtection="1">
      <alignment horizontal="right"/>
      <protection hidden="1"/>
    </xf>
    <xf numFmtId="3" fontId="0" fillId="39" borderId="24" xfId="0" applyNumberFormat="1" applyFill="1" applyBorder="1" applyAlignment="1" applyProtection="1">
      <alignment horizontal="right"/>
      <protection hidden="1"/>
    </xf>
    <xf numFmtId="164" fontId="30" fillId="39" borderId="24" xfId="0" applyNumberFormat="1" applyFont="1" applyFill="1" applyBorder="1" applyAlignment="1" applyProtection="1">
      <alignment horizontal="right"/>
      <protection hidden="1"/>
    </xf>
    <xf numFmtId="4" fontId="23" fillId="40" borderId="13" xfId="0" applyNumberFormat="1" applyFont="1" applyFill="1" applyBorder="1" applyProtection="1">
      <protection hidden="1"/>
    </xf>
    <xf numFmtId="164" fontId="23" fillId="40" borderId="13" xfId="0" applyNumberFormat="1" applyFont="1" applyFill="1" applyBorder="1" applyProtection="1">
      <protection hidden="1"/>
    </xf>
    <xf numFmtId="166" fontId="23" fillId="40" borderId="13" xfId="0" applyNumberFormat="1" applyFont="1" applyFill="1" applyBorder="1" applyProtection="1">
      <protection hidden="1"/>
    </xf>
    <xf numFmtId="0" fontId="0" fillId="39" borderId="24" xfId="0" applyFill="1" applyBorder="1" applyAlignment="1" applyProtection="1">
      <alignment horizontal="center"/>
      <protection hidden="1"/>
    </xf>
    <xf numFmtId="0" fontId="0" fillId="0" borderId="24" xfId="0" applyNumberFormat="1" applyBorder="1" applyProtection="1">
      <protection hidden="1"/>
    </xf>
    <xf numFmtId="0" fontId="0" fillId="0" borderId="24" xfId="42" applyNumberFormat="1" applyFont="1" applyFill="1" applyBorder="1" applyAlignment="1" applyProtection="1">
      <alignment horizontal="center"/>
      <protection hidden="1"/>
    </xf>
    <xf numFmtId="3" fontId="0" fillId="39" borderId="13" xfId="0" applyNumberFormat="1" applyFill="1" applyBorder="1" applyAlignment="1" applyProtection="1">
      <alignment horizontal="right"/>
      <protection hidden="1"/>
    </xf>
    <xf numFmtId="16" fontId="0" fillId="0" borderId="0" xfId="0" quotePrefix="1" applyNumberFormat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20" fillId="0" borderId="0" xfId="0" applyFont="1" applyAlignment="1" applyProtection="1">
      <alignment wrapText="1"/>
      <protection hidden="1"/>
    </xf>
    <xf numFmtId="0" fontId="19" fillId="38" borderId="10" xfId="0" applyFont="1" applyFill="1" applyBorder="1" applyProtection="1">
      <protection hidden="1"/>
    </xf>
    <xf numFmtId="0" fontId="19" fillId="38" borderId="10" xfId="0" applyFont="1" applyFill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0" fontId="19" fillId="38" borderId="13" xfId="0" applyFont="1" applyFill="1" applyBorder="1" applyProtection="1">
      <protection hidden="1"/>
    </xf>
    <xf numFmtId="0" fontId="19" fillId="38" borderId="13" xfId="0" applyFont="1" applyFill="1" applyBorder="1" applyAlignment="1" applyProtection="1">
      <alignment horizontal="center"/>
      <protection hidden="1"/>
    </xf>
    <xf numFmtId="3" fontId="33" fillId="0" borderId="13" xfId="0" applyNumberFormat="1" applyFont="1" applyFill="1" applyBorder="1" applyProtection="1">
      <protection hidden="1"/>
    </xf>
    <xf numFmtId="166" fontId="33" fillId="0" borderId="13" xfId="0" applyNumberFormat="1" applyFont="1" applyFill="1" applyBorder="1" applyProtection="1">
      <protection hidden="1"/>
    </xf>
    <xf numFmtId="3" fontId="19" fillId="38" borderId="13" xfId="0" applyNumberFormat="1" applyFont="1" applyFill="1" applyBorder="1" applyProtection="1">
      <protection hidden="1"/>
    </xf>
    <xf numFmtId="174" fontId="19" fillId="38" borderId="13" xfId="655" applyNumberFormat="1" applyFont="1" applyFill="1" applyBorder="1" applyProtection="1">
      <protection hidden="1"/>
    </xf>
    <xf numFmtId="164" fontId="19" fillId="38" borderId="13" xfId="0" applyNumberFormat="1" applyFont="1" applyFill="1" applyBorder="1" applyProtection="1">
      <protection hidden="1"/>
    </xf>
    <xf numFmtId="0" fontId="19" fillId="39" borderId="14" xfId="0" applyFont="1" applyFill="1" applyBorder="1" applyProtection="1">
      <protection hidden="1"/>
    </xf>
    <xf numFmtId="0" fontId="20" fillId="39" borderId="14" xfId="0" applyFont="1" applyFill="1" applyBorder="1" applyAlignment="1" applyProtection="1">
      <alignment wrapText="1"/>
      <protection hidden="1"/>
    </xf>
    <xf numFmtId="0" fontId="20" fillId="39" borderId="14" xfId="0" applyFont="1" applyFill="1" applyBorder="1" applyProtection="1">
      <protection hidden="1"/>
    </xf>
    <xf numFmtId="0" fontId="23" fillId="39" borderId="10" xfId="0" applyFont="1" applyFill="1" applyBorder="1" applyAlignment="1" applyProtection="1">
      <alignment horizontal="center"/>
      <protection hidden="1"/>
    </xf>
    <xf numFmtId="0" fontId="0" fillId="39" borderId="12" xfId="0" applyFill="1" applyBorder="1" applyAlignment="1" applyProtection="1">
      <alignment horizontal="center"/>
      <protection hidden="1"/>
    </xf>
    <xf numFmtId="0" fontId="23" fillId="39" borderId="15" xfId="0" applyFont="1" applyFill="1" applyBorder="1" applyAlignment="1" applyProtection="1">
      <protection hidden="1"/>
    </xf>
    <xf numFmtId="49" fontId="23" fillId="39" borderId="15" xfId="0" applyNumberFormat="1" applyFont="1" applyFill="1" applyBorder="1" applyAlignment="1" applyProtection="1">
      <protection hidden="1"/>
    </xf>
    <xf numFmtId="3" fontId="23" fillId="39" borderId="15" xfId="0" applyNumberFormat="1" applyFont="1" applyFill="1" applyBorder="1" applyAlignment="1" applyProtection="1">
      <protection hidden="1"/>
    </xf>
    <xf numFmtId="0" fontId="23" fillId="39" borderId="13" xfId="0" applyFont="1" applyFill="1" applyBorder="1" applyAlignment="1" applyProtection="1">
      <alignment horizontal="center" wrapText="1"/>
      <protection hidden="1"/>
    </xf>
    <xf numFmtId="0" fontId="23" fillId="0" borderId="0" xfId="0" applyFont="1" applyBorder="1" applyAlignment="1" applyProtection="1">
      <protection hidden="1"/>
    </xf>
    <xf numFmtId="0" fontId="21" fillId="38" borderId="11" xfId="0" applyFont="1" applyFill="1" applyBorder="1" applyProtection="1">
      <protection hidden="1"/>
    </xf>
    <xf numFmtId="3" fontId="21" fillId="38" borderId="11" xfId="0" applyNumberFormat="1" applyFont="1" applyFill="1" applyBorder="1" applyProtection="1">
      <protection hidden="1"/>
    </xf>
    <xf numFmtId="0" fontId="23" fillId="38" borderId="12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38" borderId="10" xfId="0" applyFont="1" applyFill="1" applyBorder="1" applyAlignment="1" applyProtection="1">
      <alignment horizontal="center"/>
      <protection hidden="1"/>
    </xf>
    <xf numFmtId="0" fontId="23" fillId="0" borderId="0" xfId="0" applyFont="1" applyBorder="1" applyProtection="1">
      <protection hidden="1"/>
    </xf>
    <xf numFmtId="0" fontId="23" fillId="38" borderId="13" xfId="0" applyFont="1" applyFill="1" applyBorder="1" applyProtection="1">
      <protection hidden="1"/>
    </xf>
    <xf numFmtId="49" fontId="23" fillId="38" borderId="13" xfId="0" applyNumberFormat="1" applyFont="1" applyFill="1" applyBorder="1" applyAlignment="1" applyProtection="1">
      <alignment wrapText="1"/>
      <protection hidden="1"/>
    </xf>
    <xf numFmtId="3" fontId="23" fillId="38" borderId="13" xfId="0" applyNumberFormat="1" applyFont="1" applyFill="1" applyBorder="1" applyProtection="1">
      <protection hidden="1"/>
    </xf>
    <xf numFmtId="0" fontId="23" fillId="38" borderId="13" xfId="0" applyFont="1" applyFill="1" applyBorder="1" applyAlignment="1" applyProtection="1">
      <alignment horizontal="center" wrapText="1"/>
      <protection hidden="1"/>
    </xf>
    <xf numFmtId="0" fontId="0" fillId="0" borderId="24" xfId="0" applyFill="1" applyBorder="1" applyAlignment="1" applyProtection="1">
      <alignment horizontal="left"/>
      <protection hidden="1"/>
    </xf>
    <xf numFmtId="0" fontId="0" fillId="38" borderId="16" xfId="0" applyFill="1" applyBorder="1" applyProtection="1">
      <protection hidden="1"/>
    </xf>
    <xf numFmtId="0" fontId="24" fillId="38" borderId="17" xfId="0" applyFont="1" applyFill="1" applyBorder="1" applyAlignment="1" applyProtection="1">
      <alignment horizontal="left"/>
      <protection hidden="1"/>
    </xf>
    <xf numFmtId="0" fontId="0" fillId="38" borderId="17" xfId="0" applyFill="1" applyBorder="1" applyProtection="1">
      <protection hidden="1"/>
    </xf>
    <xf numFmtId="0" fontId="25" fillId="38" borderId="10" xfId="0" applyFont="1" applyFill="1" applyBorder="1" applyProtection="1">
      <protection hidden="1"/>
    </xf>
    <xf numFmtId="0" fontId="24" fillId="38" borderId="12" xfId="0" quotePrefix="1" applyFont="1" applyFill="1" applyBorder="1" applyProtection="1">
      <protection hidden="1"/>
    </xf>
    <xf numFmtId="3" fontId="22" fillId="38" borderId="13" xfId="0" applyNumberFormat="1" applyFont="1" applyFill="1" applyBorder="1" applyProtection="1">
      <protection hidden="1"/>
    </xf>
    <xf numFmtId="0" fontId="0" fillId="38" borderId="18" xfId="0" applyFill="1" applyBorder="1" applyProtection="1">
      <protection hidden="1"/>
    </xf>
    <xf numFmtId="0" fontId="0" fillId="38" borderId="19" xfId="0" applyFill="1" applyBorder="1" applyProtection="1">
      <protection hidden="1"/>
    </xf>
    <xf numFmtId="0" fontId="24" fillId="38" borderId="0" xfId="0" applyFont="1" applyFill="1" applyBorder="1" applyAlignment="1" applyProtection="1">
      <alignment horizontal="left"/>
      <protection hidden="1"/>
    </xf>
    <xf numFmtId="0" fontId="0" fillId="38" borderId="0" xfId="0" applyFill="1" applyBorder="1" applyProtection="1">
      <protection hidden="1"/>
    </xf>
    <xf numFmtId="166" fontId="22" fillId="38" borderId="13" xfId="0" applyNumberFormat="1" applyFont="1" applyFill="1" applyBorder="1" applyProtection="1">
      <protection hidden="1"/>
    </xf>
    <xf numFmtId="0" fontId="0" fillId="38" borderId="20" xfId="0" applyFill="1" applyBorder="1" applyProtection="1">
      <protection hidden="1"/>
    </xf>
    <xf numFmtId="0" fontId="0" fillId="38" borderId="21" xfId="0" applyFill="1" applyBorder="1" applyProtection="1">
      <protection hidden="1"/>
    </xf>
    <xf numFmtId="0" fontId="24" fillId="38" borderId="22" xfId="0" applyFont="1" applyFill="1" applyBorder="1" applyAlignment="1" applyProtection="1">
      <alignment horizontal="left"/>
      <protection hidden="1"/>
    </xf>
    <xf numFmtId="0" fontId="0" fillId="38" borderId="22" xfId="0" applyFill="1" applyBorder="1" applyProtection="1">
      <protection hidden="1"/>
    </xf>
    <xf numFmtId="0" fontId="0" fillId="38" borderId="23" xfId="0" applyFill="1" applyBorder="1" applyProtection="1">
      <protection hidden="1"/>
    </xf>
    <xf numFmtId="3" fontId="0" fillId="0" borderId="0" xfId="0" applyNumberFormat="1" applyFill="1" applyProtection="1"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2" xfId="0" applyFill="1" applyBorder="1" applyProtection="1">
      <protection hidden="1"/>
    </xf>
    <xf numFmtId="49" fontId="0" fillId="0" borderId="0" xfId="0" applyNumberForma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Border="1" applyProtection="1">
      <protection hidden="1"/>
    </xf>
    <xf numFmtId="0" fontId="23" fillId="0" borderId="0" xfId="0" applyFont="1" applyFill="1" applyAlignment="1" applyProtection="1">
      <alignment horizontal="center"/>
      <protection hidden="1"/>
    </xf>
    <xf numFmtId="164" fontId="23" fillId="0" borderId="0" xfId="0" applyNumberFormat="1" applyFont="1" applyFill="1" applyProtection="1">
      <protection hidden="1"/>
    </xf>
    <xf numFmtId="2" fontId="23" fillId="0" borderId="0" xfId="0" applyNumberFormat="1" applyFont="1" applyFill="1" applyProtection="1">
      <protection hidden="1"/>
    </xf>
    <xf numFmtId="0" fontId="26" fillId="0" borderId="0" xfId="0" applyFont="1" applyProtection="1">
      <protection hidden="1"/>
    </xf>
    <xf numFmtId="3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Protection="1">
      <protection hidden="1"/>
    </xf>
    <xf numFmtId="2" fontId="20" fillId="0" borderId="0" xfId="0" applyNumberFormat="1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19" fillId="38" borderId="14" xfId="0" applyFont="1" applyFill="1" applyBorder="1" applyAlignment="1" applyProtection="1">
      <protection hidden="1"/>
    </xf>
    <xf numFmtId="0" fontId="19" fillId="38" borderId="10" xfId="0" applyFont="1" applyFill="1" applyBorder="1" applyAlignment="1" applyProtection="1">
      <alignment horizontal="center" wrapText="1"/>
      <protection hidden="1"/>
    </xf>
    <xf numFmtId="0" fontId="19" fillId="38" borderId="11" xfId="0" applyFont="1" applyFill="1" applyBorder="1" applyAlignment="1" applyProtection="1">
      <alignment horizontal="center"/>
      <protection hidden="1"/>
    </xf>
    <xf numFmtId="0" fontId="19" fillId="38" borderId="27" xfId="0" applyFont="1" applyFill="1" applyBorder="1" applyAlignment="1" applyProtection="1">
      <alignment horizontal="center"/>
      <protection hidden="1"/>
    </xf>
    <xf numFmtId="0" fontId="0" fillId="38" borderId="12" xfId="0" applyFill="1" applyBorder="1" applyAlignment="1" applyProtection="1">
      <protection hidden="1"/>
    </xf>
    <xf numFmtId="0" fontId="19" fillId="38" borderId="15" xfId="0" applyFont="1" applyFill="1" applyBorder="1" applyProtection="1">
      <protection hidden="1"/>
    </xf>
    <xf numFmtId="0" fontId="19" fillId="38" borderId="24" xfId="0" applyFont="1" applyFill="1" applyBorder="1" applyAlignment="1" applyProtection="1">
      <alignment horizontal="center"/>
      <protection hidden="1"/>
    </xf>
    <xf numFmtId="0" fontId="19" fillId="38" borderId="24" xfId="0" applyFont="1" applyFill="1" applyBorder="1" applyAlignment="1" applyProtection="1">
      <alignment horizontal="center" wrapText="1"/>
      <protection hidden="1"/>
    </xf>
    <xf numFmtId="0" fontId="19" fillId="38" borderId="26" xfId="0" applyFont="1" applyFill="1" applyBorder="1" applyAlignment="1" applyProtection="1">
      <alignment horizontal="center" wrapText="1"/>
      <protection hidden="1"/>
    </xf>
    <xf numFmtId="0" fontId="19" fillId="38" borderId="12" xfId="0" applyFont="1" applyFill="1" applyBorder="1" applyAlignment="1" applyProtection="1">
      <alignment horizontal="center"/>
      <protection hidden="1"/>
    </xf>
    <xf numFmtId="164" fontId="19" fillId="38" borderId="13" xfId="0" applyNumberFormat="1" applyFont="1" applyFill="1" applyBorder="1" applyAlignment="1" applyProtection="1">
      <alignment horizontal="center" wrapText="1"/>
      <protection hidden="1"/>
    </xf>
    <xf numFmtId="2" fontId="19" fillId="38" borderId="13" xfId="0" applyNumberFormat="1" applyFont="1" applyFill="1" applyBorder="1" applyAlignment="1" applyProtection="1">
      <alignment horizontal="center" wrapText="1"/>
      <protection hidden="1"/>
    </xf>
    <xf numFmtId="0" fontId="19" fillId="38" borderId="13" xfId="0" applyFont="1" applyFill="1" applyBorder="1" applyAlignment="1" applyProtection="1">
      <alignment horizontal="center" wrapText="1"/>
      <protection hidden="1"/>
    </xf>
    <xf numFmtId="0" fontId="27" fillId="0" borderId="13" xfId="0" applyFont="1" applyFill="1" applyBorder="1" applyAlignment="1" applyProtection="1">
      <protection hidden="1"/>
    </xf>
    <xf numFmtId="2" fontId="27" fillId="0" borderId="24" xfId="0" applyNumberFormat="1" applyFont="1" applyFill="1" applyBorder="1" applyAlignment="1" applyProtection="1">
      <protection hidden="1"/>
    </xf>
    <xf numFmtId="2" fontId="27" fillId="0" borderId="26" xfId="0" applyNumberFormat="1" applyFont="1" applyFill="1" applyBorder="1" applyAlignment="1" applyProtection="1">
      <protection hidden="1"/>
    </xf>
    <xf numFmtId="2" fontId="27" fillId="0" borderId="12" xfId="0" applyNumberFormat="1" applyFont="1" applyFill="1" applyBorder="1" applyAlignment="1" applyProtection="1">
      <protection hidden="1"/>
    </xf>
    <xf numFmtId="2" fontId="27" fillId="0" borderId="13" xfId="0" applyNumberFormat="1" applyFont="1" applyFill="1" applyBorder="1" applyAlignment="1" applyProtection="1">
      <protection hidden="1"/>
    </xf>
    <xf numFmtId="10" fontId="20" fillId="0" borderId="13" xfId="0" applyNumberFormat="1" applyFont="1" applyFill="1" applyBorder="1" applyAlignment="1" applyProtection="1">
      <protection hidden="1"/>
    </xf>
    <xf numFmtId="2" fontId="23" fillId="0" borderId="0" xfId="0" applyNumberFormat="1" applyFont="1" applyFill="1" applyBorder="1" applyProtection="1">
      <protection hidden="1"/>
    </xf>
    <xf numFmtId="43" fontId="27" fillId="0" borderId="13" xfId="655" applyFont="1" applyFill="1" applyBorder="1" applyAlignment="1" applyProtection="1">
      <protection hidden="1"/>
    </xf>
    <xf numFmtId="0" fontId="19" fillId="38" borderId="13" xfId="0" applyFont="1" applyFill="1" applyBorder="1" applyAlignment="1" applyProtection="1">
      <protection hidden="1"/>
    </xf>
    <xf numFmtId="165" fontId="19" fillId="38" borderId="13" xfId="0" applyNumberFormat="1" applyFont="1" applyFill="1" applyBorder="1" applyAlignment="1" applyProtection="1">
      <protection hidden="1"/>
    </xf>
    <xf numFmtId="2" fontId="19" fillId="38" borderId="24" xfId="0" applyNumberFormat="1" applyFont="1" applyFill="1" applyBorder="1" applyAlignment="1" applyProtection="1">
      <protection hidden="1"/>
    </xf>
    <xf numFmtId="2" fontId="19" fillId="38" borderId="26" xfId="0" applyNumberFormat="1" applyFont="1" applyFill="1" applyBorder="1" applyAlignment="1" applyProtection="1">
      <protection hidden="1"/>
    </xf>
    <xf numFmtId="2" fontId="19" fillId="38" borderId="12" xfId="0" applyNumberFormat="1" applyFont="1" applyFill="1" applyBorder="1" applyAlignment="1" applyProtection="1">
      <protection hidden="1"/>
    </xf>
    <xf numFmtId="2" fontId="19" fillId="38" borderId="13" xfId="0" applyNumberFormat="1" applyFont="1" applyFill="1" applyBorder="1" applyAlignment="1" applyProtection="1">
      <protection hidden="1"/>
    </xf>
    <xf numFmtId="10" fontId="19" fillId="38" borderId="13" xfId="0" applyNumberFormat="1" applyFont="1" applyFill="1" applyBorder="1" applyAlignment="1" applyProtection="1">
      <protection hidden="1"/>
    </xf>
    <xf numFmtId="0" fontId="22" fillId="39" borderId="14" xfId="0" applyFont="1" applyFill="1" applyBorder="1" applyProtection="1">
      <protection hidden="1"/>
    </xf>
    <xf numFmtId="0" fontId="21" fillId="39" borderId="14" xfId="0" applyFont="1" applyFill="1" applyBorder="1" applyProtection="1">
      <protection hidden="1"/>
    </xf>
    <xf numFmtId="0" fontId="0" fillId="39" borderId="11" xfId="0" applyFill="1" applyBorder="1" applyAlignment="1" applyProtection="1">
      <protection hidden="1"/>
    </xf>
    <xf numFmtId="0" fontId="0" fillId="39" borderId="12" xfId="0" applyFill="1" applyBorder="1" applyAlignment="1" applyProtection="1">
      <protection hidden="1"/>
    </xf>
    <xf numFmtId="166" fontId="23" fillId="39" borderId="10" xfId="0" applyNumberFormat="1" applyFont="1" applyFill="1" applyBorder="1" applyAlignment="1" applyProtection="1">
      <alignment horizontal="center"/>
      <protection hidden="1"/>
    </xf>
    <xf numFmtId="0" fontId="23" fillId="39" borderId="15" xfId="0" applyFont="1" applyFill="1" applyBorder="1" applyProtection="1">
      <protection hidden="1"/>
    </xf>
    <xf numFmtId="0" fontId="23" fillId="39" borderId="13" xfId="0" applyFont="1" applyFill="1" applyBorder="1" applyAlignment="1" applyProtection="1">
      <alignment horizontal="center"/>
      <protection hidden="1"/>
    </xf>
    <xf numFmtId="2" fontId="23" fillId="39" borderId="13" xfId="0" applyNumberFormat="1" applyFont="1" applyFill="1" applyBorder="1" applyAlignment="1" applyProtection="1">
      <alignment horizontal="center"/>
      <protection hidden="1"/>
    </xf>
    <xf numFmtId="2" fontId="23" fillId="39" borderId="13" xfId="0" applyNumberFormat="1" applyFont="1" applyFill="1" applyBorder="1" applyAlignment="1" applyProtection="1">
      <alignment horizontal="center" wrapText="1"/>
      <protection hidden="1"/>
    </xf>
    <xf numFmtId="166" fontId="23" fillId="39" borderId="13" xfId="0" applyNumberFormat="1" applyFont="1" applyFill="1" applyBorder="1" applyAlignment="1" applyProtection="1">
      <alignment horizontal="center" wrapText="1"/>
      <protection hidden="1"/>
    </xf>
    <xf numFmtId="0" fontId="26" fillId="39" borderId="10" xfId="0" applyFont="1" applyFill="1" applyBorder="1" applyProtection="1">
      <protection hidden="1"/>
    </xf>
    <xf numFmtId="0" fontId="26" fillId="39" borderId="12" xfId="0" applyFont="1" applyFill="1" applyBorder="1" applyProtection="1">
      <protection hidden="1"/>
    </xf>
    <xf numFmtId="0" fontId="26" fillId="39" borderId="13" xfId="0" applyFont="1" applyFill="1" applyBorder="1" applyAlignment="1" applyProtection="1">
      <alignment horizontal="right"/>
      <protection hidden="1"/>
    </xf>
    <xf numFmtId="3" fontId="26" fillId="39" borderId="13" xfId="0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 applyProtection="1">
      <protection hidden="1"/>
    </xf>
    <xf numFmtId="0" fontId="21" fillId="38" borderId="11" xfId="0" applyFont="1" applyFill="1" applyBorder="1" applyAlignment="1" applyProtection="1">
      <alignment horizontal="center"/>
      <protection hidden="1"/>
    </xf>
    <xf numFmtId="2" fontId="23" fillId="38" borderId="11" xfId="0" applyNumberFormat="1" applyFont="1" applyFill="1" applyBorder="1" applyAlignment="1" applyProtection="1">
      <alignment horizontal="center"/>
      <protection hidden="1"/>
    </xf>
    <xf numFmtId="2" fontId="20" fillId="38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protection hidden="1"/>
    </xf>
    <xf numFmtId="166" fontId="23" fillId="38" borderId="12" xfId="0" applyNumberFormat="1" applyFont="1" applyFill="1" applyBorder="1" applyProtection="1">
      <protection hidden="1"/>
    </xf>
    <xf numFmtId="0" fontId="22" fillId="38" borderId="14" xfId="0" applyFont="1" applyFill="1" applyBorder="1" applyProtection="1">
      <protection hidden="1"/>
    </xf>
    <xf numFmtId="0" fontId="21" fillId="38" borderId="14" xfId="0" applyFont="1" applyFill="1" applyBorder="1" applyProtection="1">
      <protection hidden="1"/>
    </xf>
    <xf numFmtId="0" fontId="21" fillId="38" borderId="14" xfId="0" applyFont="1" applyFill="1" applyBorder="1" applyAlignment="1" applyProtection="1">
      <alignment horizontal="center"/>
      <protection hidden="1"/>
    </xf>
    <xf numFmtId="166" fontId="23" fillId="38" borderId="10" xfId="0" applyNumberFormat="1" applyFont="1" applyFill="1" applyBorder="1" applyAlignment="1" applyProtection="1">
      <alignment horizontal="center"/>
      <protection hidden="1"/>
    </xf>
    <xf numFmtId="0" fontId="23" fillId="38" borderId="15" xfId="0" applyFont="1" applyFill="1" applyBorder="1" applyAlignment="1" applyProtection="1">
      <alignment horizontal="center" wrapText="1"/>
      <protection hidden="1"/>
    </xf>
    <xf numFmtId="0" fontId="23" fillId="38" borderId="13" xfId="0" applyFont="1" applyFill="1" applyBorder="1" applyAlignment="1" applyProtection="1">
      <alignment horizontal="center"/>
      <protection hidden="1"/>
    </xf>
    <xf numFmtId="2" fontId="23" fillId="38" borderId="13" xfId="0" applyNumberFormat="1" applyFont="1" applyFill="1" applyBorder="1" applyAlignment="1" applyProtection="1">
      <alignment horizontal="center"/>
      <protection hidden="1"/>
    </xf>
    <xf numFmtId="2" fontId="23" fillId="38" borderId="24" xfId="0" applyNumberFormat="1" applyFont="1" applyFill="1" applyBorder="1" applyAlignment="1" applyProtection="1">
      <alignment horizontal="center" wrapText="1"/>
      <protection hidden="1"/>
    </xf>
    <xf numFmtId="166" fontId="23" fillId="38" borderId="24" xfId="0" applyNumberFormat="1" applyFont="1" applyFill="1" applyBorder="1" applyAlignment="1" applyProtection="1">
      <alignment horizontal="center" wrapText="1"/>
      <protection hidden="1"/>
    </xf>
    <xf numFmtId="0" fontId="26" fillId="38" borderId="10" xfId="0" applyFont="1" applyFill="1" applyBorder="1" applyAlignment="1" applyProtection="1">
      <alignment horizontal="right"/>
      <protection hidden="1"/>
    </xf>
    <xf numFmtId="0" fontId="0" fillId="38" borderId="11" xfId="0" applyFill="1" applyBorder="1" applyAlignment="1" applyProtection="1">
      <alignment horizontal="right"/>
      <protection hidden="1"/>
    </xf>
    <xf numFmtId="0" fontId="0" fillId="38" borderId="12" xfId="0" applyFill="1" applyBorder="1" applyAlignment="1" applyProtection="1">
      <alignment horizontal="right"/>
      <protection hidden="1"/>
    </xf>
    <xf numFmtId="3" fontId="26" fillId="38" borderId="13" xfId="0" applyNumberFormat="1" applyFont="1" applyFill="1" applyBorder="1" applyAlignment="1" applyProtection="1">
      <alignment horizontal="center" wrapText="1"/>
      <protection hidden="1"/>
    </xf>
    <xf numFmtId="2" fontId="0" fillId="0" borderId="13" xfId="0" applyNumberFormat="1" applyFill="1" applyBorder="1" applyProtection="1">
      <protection hidden="1"/>
    </xf>
    <xf numFmtId="49" fontId="0" fillId="0" borderId="0" xfId="0" applyNumberFormat="1" applyAlignment="1" applyProtection="1">
      <alignment vertical="center"/>
      <protection hidden="1"/>
    </xf>
    <xf numFmtId="2" fontId="0" fillId="0" borderId="13" xfId="0" applyNumberFormat="1" applyBorder="1" applyProtection="1">
      <protection hidden="1"/>
    </xf>
    <xf numFmtId="166" fontId="0" fillId="0" borderId="13" xfId="0" applyNumberFormat="1" applyBorder="1" applyProtection="1">
      <protection hidden="1"/>
    </xf>
    <xf numFmtId="166" fontId="0" fillId="0" borderId="13" xfId="0" applyNumberFormat="1" applyFill="1" applyBorder="1" applyProtection="1">
      <protection hidden="1"/>
    </xf>
    <xf numFmtId="0" fontId="21" fillId="38" borderId="16" xfId="0" applyFont="1" applyFill="1" applyBorder="1" applyProtection="1">
      <protection hidden="1"/>
    </xf>
    <xf numFmtId="0" fontId="22" fillId="38" borderId="18" xfId="0" applyFont="1" applyFill="1" applyBorder="1" applyProtection="1">
      <protection hidden="1"/>
    </xf>
    <xf numFmtId="2" fontId="23" fillId="38" borderId="13" xfId="0" applyNumberFormat="1" applyFont="1" applyFill="1" applyBorder="1" applyProtection="1">
      <protection hidden="1"/>
    </xf>
    <xf numFmtId="2" fontId="21" fillId="38" borderId="19" xfId="0" applyNumberFormat="1" applyFont="1" applyFill="1" applyBorder="1" applyProtection="1">
      <protection hidden="1"/>
    </xf>
    <xf numFmtId="2" fontId="22" fillId="38" borderId="20" xfId="0" applyNumberFormat="1" applyFont="1" applyFill="1" applyBorder="1" applyProtection="1">
      <protection hidden="1"/>
    </xf>
    <xf numFmtId="2" fontId="22" fillId="38" borderId="11" xfId="0" applyNumberFormat="1" applyFont="1" applyFill="1" applyBorder="1" applyProtection="1">
      <protection hidden="1"/>
    </xf>
    <xf numFmtId="2" fontId="21" fillId="38" borderId="21" xfId="0" applyNumberFormat="1" applyFont="1" applyFill="1" applyBorder="1" applyProtection="1">
      <protection hidden="1"/>
    </xf>
    <xf numFmtId="2" fontId="22" fillId="38" borderId="23" xfId="0" applyNumberFormat="1" applyFont="1" applyFill="1" applyBorder="1" applyProtection="1">
      <protection hidden="1"/>
    </xf>
    <xf numFmtId="1" fontId="22" fillId="38" borderId="13" xfId="0" applyNumberFormat="1" applyFont="1" applyFill="1" applyBorder="1" applyProtection="1">
      <protection hidden="1"/>
    </xf>
    <xf numFmtId="165" fontId="23" fillId="38" borderId="13" xfId="0" applyNumberFormat="1" applyFont="1" applyFill="1" applyBorder="1" applyAlignment="1" applyProtection="1">
      <alignment horizontal="center"/>
      <protection hidden="1"/>
    </xf>
    <xf numFmtId="164" fontId="23" fillId="38" borderId="13" xfId="0" applyNumberFormat="1" applyFont="1" applyFill="1" applyBorder="1" applyProtection="1">
      <protection hidden="1"/>
    </xf>
    <xf numFmtId="2" fontId="0" fillId="0" borderId="0" xfId="0" applyNumberFormat="1" applyProtection="1">
      <protection hidden="1"/>
    </xf>
    <xf numFmtId="0" fontId="0" fillId="0" borderId="24" xfId="42" applyNumberFormat="1" applyFont="1" applyBorder="1" applyProtection="1">
      <protection hidden="1"/>
    </xf>
    <xf numFmtId="2" fontId="29" fillId="0" borderId="13" xfId="43" applyNumberFormat="1" applyBorder="1" applyProtection="1">
      <protection hidden="1"/>
    </xf>
    <xf numFmtId="2" fontId="29" fillId="0" borderId="13" xfId="42" applyNumberFormat="1" applyFont="1" applyBorder="1" applyProtection="1">
      <protection hidden="1"/>
    </xf>
    <xf numFmtId="2" fontId="27" fillId="0" borderId="13" xfId="43" applyNumberFormat="1" applyFont="1" applyBorder="1" applyProtection="1">
      <protection hidden="1"/>
    </xf>
    <xf numFmtId="2" fontId="27" fillId="0" borderId="24" xfId="43" applyNumberFormat="1" applyFont="1" applyBorder="1" applyProtection="1">
      <protection hidden="1"/>
    </xf>
    <xf numFmtId="2" fontId="0" fillId="0" borderId="24" xfId="0" applyNumberFormat="1" applyBorder="1" applyProtection="1">
      <protection hidden="1"/>
    </xf>
    <xf numFmtId="2" fontId="29" fillId="0" borderId="24" xfId="42" applyNumberFormat="1" applyFont="1" applyBorder="1" applyProtection="1">
      <protection hidden="1"/>
    </xf>
    <xf numFmtId="166" fontId="0" fillId="0" borderId="24" xfId="0" applyNumberFormat="1" applyFill="1" applyBorder="1" applyAlignment="1" applyProtection="1">
      <alignment horizontal="right"/>
      <protection hidden="1"/>
    </xf>
    <xf numFmtId="166" fontId="0" fillId="0" borderId="24" xfId="0" applyNumberFormat="1" applyBorder="1" applyProtection="1">
      <protection hidden="1"/>
    </xf>
    <xf numFmtId="49" fontId="19" fillId="38" borderId="24" xfId="0" applyNumberFormat="1" applyFont="1" applyFill="1" applyBorder="1" applyProtection="1">
      <protection hidden="1"/>
    </xf>
    <xf numFmtId="2" fontId="27" fillId="0" borderId="13" xfId="75" applyNumberFormat="1" applyFont="1" applyBorder="1" applyProtection="1">
      <protection hidden="1"/>
    </xf>
    <xf numFmtId="166" fontId="0" fillId="0" borderId="13" xfId="0" applyNumberFormat="1" applyBorder="1" applyAlignment="1" applyProtection="1">
      <alignment horizontal="right"/>
      <protection hidden="1"/>
    </xf>
    <xf numFmtId="49" fontId="32" fillId="38" borderId="24" xfId="670" applyNumberFormat="1" applyFont="1" applyFill="1" applyBorder="1" applyAlignment="1" applyProtection="1">
      <alignment horizontal="left" vertical="center"/>
      <protection hidden="1"/>
    </xf>
    <xf numFmtId="0" fontId="23" fillId="38" borderId="11" xfId="0" applyFont="1" applyFill="1" applyBorder="1" applyAlignment="1" applyProtection="1">
      <alignment horizontal="center"/>
      <protection hidden="1"/>
    </xf>
    <xf numFmtId="0" fontId="23" fillId="38" borderId="12" xfId="0" applyFont="1" applyFill="1" applyBorder="1" applyAlignment="1" applyProtection="1">
      <alignment horizontal="center"/>
      <protection hidden="1"/>
    </xf>
    <xf numFmtId="166" fontId="23" fillId="38" borderId="12" xfId="0" applyNumberFormat="1" applyFont="1" applyFill="1" applyBorder="1" applyAlignment="1" applyProtection="1">
      <alignment horizontal="center"/>
      <protection hidden="1"/>
    </xf>
    <xf numFmtId="0" fontId="0" fillId="0" borderId="10" xfId="42" applyNumberFormat="1" applyFont="1" applyBorder="1" applyProtection="1">
      <protection hidden="1"/>
    </xf>
    <xf numFmtId="49" fontId="0" fillId="0" borderId="0" xfId="0" applyNumberFormat="1" applyFill="1" applyAlignment="1" applyProtection="1">
      <alignment vertical="center"/>
      <protection hidden="1"/>
    </xf>
    <xf numFmtId="0" fontId="0" fillId="0" borderId="0" xfId="42" applyNumberFormat="1" applyFont="1" applyProtection="1">
      <protection hidden="1"/>
    </xf>
    <xf numFmtId="43" fontId="23" fillId="38" borderId="13" xfId="655" applyFont="1" applyFill="1" applyBorder="1" applyProtection="1"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168" fontId="0" fillId="0" borderId="0" xfId="0" applyNumberFormat="1" applyBorder="1" applyProtection="1">
      <protection hidden="1"/>
    </xf>
    <xf numFmtId="167" fontId="20" fillId="0" borderId="0" xfId="0" applyNumberFormat="1" applyFont="1" applyFill="1" applyProtection="1">
      <protection hidden="1"/>
    </xf>
    <xf numFmtId="168" fontId="20" fillId="0" borderId="0" xfId="0" applyNumberFormat="1" applyFont="1" applyFill="1" applyProtection="1">
      <protection hidden="1"/>
    </xf>
    <xf numFmtId="167" fontId="20" fillId="0" borderId="0" xfId="0" applyNumberFormat="1" applyFont="1" applyProtection="1">
      <protection hidden="1"/>
    </xf>
    <xf numFmtId="168" fontId="20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20" fillId="38" borderId="16" xfId="0" applyFont="1" applyFill="1" applyBorder="1" applyProtection="1">
      <protection hidden="1"/>
    </xf>
    <xf numFmtId="0" fontId="19" fillId="38" borderId="16" xfId="0" applyFont="1" applyFill="1" applyBorder="1" applyAlignment="1" applyProtection="1">
      <alignment horizontal="center" wrapText="1"/>
      <protection hidden="1"/>
    </xf>
    <xf numFmtId="0" fontId="0" fillId="38" borderId="18" xfId="0" applyFill="1" applyBorder="1" applyAlignment="1" applyProtection="1">
      <alignment horizontal="center" wrapText="1"/>
      <protection hidden="1"/>
    </xf>
    <xf numFmtId="167" fontId="22" fillId="38" borderId="10" xfId="0" applyNumberFormat="1" applyFont="1" applyFill="1" applyBorder="1" applyAlignment="1" applyProtection="1">
      <alignment horizontal="center"/>
      <protection hidden="1"/>
    </xf>
    <xf numFmtId="167" fontId="0" fillId="38" borderId="11" xfId="0" applyNumberFormat="1" applyFill="1" applyBorder="1" applyAlignment="1" applyProtection="1">
      <protection hidden="1"/>
    </xf>
    <xf numFmtId="167" fontId="0" fillId="38" borderId="12" xfId="0" applyNumberFormat="1" applyFill="1" applyBorder="1" applyAlignment="1" applyProtection="1">
      <protection hidden="1"/>
    </xf>
    <xf numFmtId="168" fontId="19" fillId="38" borderId="10" xfId="0" applyNumberFormat="1" applyFont="1" applyFill="1" applyBorder="1" applyAlignment="1" applyProtection="1">
      <alignment horizontal="center" wrapText="1"/>
      <protection hidden="1"/>
    </xf>
    <xf numFmtId="168" fontId="19" fillId="38" borderId="12" xfId="0" applyNumberFormat="1" applyFont="1" applyFill="1" applyBorder="1" applyAlignment="1" applyProtection="1">
      <alignment horizontal="center" wrapText="1"/>
      <protection hidden="1"/>
    </xf>
    <xf numFmtId="0" fontId="23" fillId="38" borderId="13" xfId="0" applyFont="1" applyFill="1" applyBorder="1" applyAlignment="1" applyProtection="1">
      <alignment horizontal="center"/>
      <protection hidden="1"/>
    </xf>
    <xf numFmtId="0" fontId="0" fillId="38" borderId="13" xfId="0" applyFill="1" applyBorder="1" applyAlignment="1" applyProtection="1">
      <alignment horizontal="center"/>
      <protection hidden="1"/>
    </xf>
    <xf numFmtId="0" fontId="19" fillId="38" borderId="21" xfId="0" applyFont="1" applyFill="1" applyBorder="1" applyAlignment="1" applyProtection="1">
      <protection hidden="1"/>
    </xf>
    <xf numFmtId="0" fontId="0" fillId="38" borderId="21" xfId="0" applyFill="1" applyBorder="1" applyAlignment="1" applyProtection="1">
      <alignment horizontal="center" wrapText="1"/>
      <protection hidden="1"/>
    </xf>
    <xf numFmtId="0" fontId="0" fillId="38" borderId="23" xfId="0" applyFill="1" applyBorder="1" applyAlignment="1" applyProtection="1">
      <alignment horizontal="center" wrapText="1"/>
      <protection hidden="1"/>
    </xf>
    <xf numFmtId="168" fontId="23" fillId="38" borderId="15" xfId="0" applyNumberFormat="1" applyFont="1" applyFill="1" applyBorder="1" applyAlignment="1" applyProtection="1">
      <alignment horizontal="center" wrapText="1"/>
      <protection hidden="1"/>
    </xf>
    <xf numFmtId="167" fontId="21" fillId="0" borderId="10" xfId="0" applyNumberFormat="1" applyFont="1" applyFill="1" applyBorder="1" applyAlignment="1" applyProtection="1">
      <protection hidden="1"/>
    </xf>
    <xf numFmtId="0" fontId="0" fillId="0" borderId="12" xfId="0" applyFill="1" applyBorder="1" applyAlignment="1" applyProtection="1">
      <protection hidden="1"/>
    </xf>
    <xf numFmtId="167" fontId="27" fillId="0" borderId="13" xfId="0" applyNumberFormat="1" applyFont="1" applyFill="1" applyBorder="1" applyAlignment="1" applyProtection="1">
      <protection hidden="1"/>
    </xf>
    <xf numFmtId="168" fontId="27" fillId="0" borderId="13" xfId="0" applyNumberFormat="1" applyFont="1" applyFill="1" applyBorder="1" applyAlignment="1" applyProtection="1">
      <protection hidden="1"/>
    </xf>
    <xf numFmtId="167" fontId="22" fillId="38" borderId="10" xfId="0" applyNumberFormat="1" applyFont="1" applyFill="1" applyBorder="1" applyAlignment="1" applyProtection="1">
      <protection hidden="1"/>
    </xf>
    <xf numFmtId="0" fontId="16" fillId="38" borderId="12" xfId="0" applyFont="1" applyFill="1" applyBorder="1" applyAlignment="1" applyProtection="1">
      <protection hidden="1"/>
    </xf>
    <xf numFmtId="167" fontId="19" fillId="38" borderId="13" xfId="0" applyNumberFormat="1" applyFont="1" applyFill="1" applyBorder="1" applyAlignment="1" applyProtection="1">
      <protection hidden="1"/>
    </xf>
    <xf numFmtId="168" fontId="19" fillId="38" borderId="13" xfId="0" applyNumberFormat="1" applyFont="1" applyFill="1" applyBorder="1" applyAlignment="1" applyProtection="1">
      <protection hidden="1"/>
    </xf>
    <xf numFmtId="167" fontId="20" fillId="0" borderId="0" xfId="0" applyNumberFormat="1" applyFont="1" applyAlignment="1" applyProtection="1">
      <protection hidden="1"/>
    </xf>
    <xf numFmtId="168" fontId="20" fillId="0" borderId="0" xfId="0" applyNumberFormat="1" applyFont="1" applyAlignment="1" applyProtection="1">
      <protection hidden="1"/>
    </xf>
    <xf numFmtId="168" fontId="28" fillId="35" borderId="0" xfId="0" applyNumberFormat="1" applyFont="1" applyFill="1" applyAlignment="1" applyProtection="1">
      <protection hidden="1"/>
    </xf>
    <xf numFmtId="0" fontId="19" fillId="0" borderId="0" xfId="0" applyFont="1" applyAlignment="1" applyProtection="1">
      <protection hidden="1"/>
    </xf>
    <xf numFmtId="0" fontId="22" fillId="39" borderId="14" xfId="0" applyFont="1" applyFill="1" applyBorder="1" applyAlignment="1" applyProtection="1">
      <protection hidden="1"/>
    </xf>
    <xf numFmtId="0" fontId="21" fillId="39" borderId="14" xfId="0" applyFont="1" applyFill="1" applyBorder="1" applyAlignment="1" applyProtection="1">
      <protection hidden="1"/>
    </xf>
    <xf numFmtId="3" fontId="21" fillId="39" borderId="14" xfId="0" applyNumberFormat="1" applyFont="1" applyFill="1" applyBorder="1" applyAlignment="1" applyProtection="1">
      <protection hidden="1"/>
    </xf>
    <xf numFmtId="167" fontId="22" fillId="39" borderId="10" xfId="0" applyNumberFormat="1" applyFont="1" applyFill="1" applyBorder="1" applyAlignment="1" applyProtection="1">
      <protection hidden="1"/>
    </xf>
    <xf numFmtId="167" fontId="0" fillId="39" borderId="11" xfId="0" applyNumberFormat="1" applyFill="1" applyBorder="1" applyAlignment="1" applyProtection="1">
      <protection hidden="1"/>
    </xf>
    <xf numFmtId="167" fontId="0" fillId="39" borderId="12" xfId="0" applyNumberFormat="1" applyFill="1" applyBorder="1" applyAlignment="1" applyProtection="1">
      <protection hidden="1"/>
    </xf>
    <xf numFmtId="168" fontId="19" fillId="39" borderId="10" xfId="0" applyNumberFormat="1" applyFont="1" applyFill="1" applyBorder="1" applyAlignment="1" applyProtection="1">
      <protection hidden="1"/>
    </xf>
    <xf numFmtId="168" fontId="19" fillId="39" borderId="12" xfId="0" applyNumberFormat="1" applyFont="1" applyFill="1" applyBorder="1" applyAlignment="1" applyProtection="1">
      <protection hidden="1"/>
    </xf>
    <xf numFmtId="0" fontId="23" fillId="39" borderId="13" xfId="0" applyFont="1" applyFill="1" applyBorder="1" applyAlignment="1" applyProtection="1">
      <protection hidden="1"/>
    </xf>
    <xf numFmtId="0" fontId="0" fillId="39" borderId="13" xfId="0" applyFill="1" applyBorder="1" applyAlignment="1" applyProtection="1">
      <protection hidden="1"/>
    </xf>
    <xf numFmtId="167" fontId="23" fillId="39" borderId="13" xfId="0" applyNumberFormat="1" applyFont="1" applyFill="1" applyBorder="1" applyAlignment="1" applyProtection="1">
      <alignment wrapText="1"/>
      <protection hidden="1"/>
    </xf>
    <xf numFmtId="168" fontId="23" fillId="39" borderId="15" xfId="0" applyNumberFormat="1" applyFont="1" applyFill="1" applyBorder="1" applyAlignment="1" applyProtection="1">
      <alignment wrapText="1"/>
      <protection hidden="1"/>
    </xf>
    <xf numFmtId="0" fontId="23" fillId="39" borderId="13" xfId="0" applyFont="1" applyFill="1" applyBorder="1" applyAlignment="1" applyProtection="1">
      <protection hidden="1"/>
    </xf>
    <xf numFmtId="0" fontId="23" fillId="39" borderId="13" xfId="0" applyFont="1" applyFill="1" applyBorder="1" applyAlignment="1" applyProtection="1">
      <alignment wrapText="1"/>
      <protection hidden="1"/>
    </xf>
    <xf numFmtId="0" fontId="26" fillId="39" borderId="10" xfId="0" applyFont="1" applyFill="1" applyBorder="1" applyAlignment="1" applyProtection="1">
      <protection hidden="1"/>
    </xf>
    <xf numFmtId="1" fontId="26" fillId="39" borderId="13" xfId="0" applyNumberFormat="1" applyFont="1" applyFill="1" applyBorder="1" applyAlignment="1" applyProtection="1">
      <protection hidden="1"/>
    </xf>
    <xf numFmtId="3" fontId="26" fillId="39" borderId="13" xfId="0" applyNumberFormat="1" applyFont="1" applyFill="1" applyBorder="1" applyAlignment="1" applyProtection="1">
      <protection hidden="1"/>
    </xf>
    <xf numFmtId="3" fontId="20" fillId="0" borderId="0" xfId="0" applyNumberFormat="1" applyFont="1" applyAlignment="1" applyProtection="1">
      <protection hidden="1"/>
    </xf>
    <xf numFmtId="0" fontId="22" fillId="38" borderId="10" xfId="0" applyFont="1" applyFill="1" applyBorder="1" applyAlignment="1" applyProtection="1">
      <protection hidden="1"/>
    </xf>
    <xf numFmtId="0" fontId="21" fillId="38" borderId="11" xfId="0" applyFont="1" applyFill="1" applyBorder="1" applyAlignment="1" applyProtection="1">
      <protection hidden="1"/>
    </xf>
    <xf numFmtId="3" fontId="21" fillId="38" borderId="11" xfId="0" applyNumberFormat="1" applyFont="1" applyFill="1" applyBorder="1" applyAlignment="1" applyProtection="1">
      <protection hidden="1"/>
    </xf>
    <xf numFmtId="167" fontId="20" fillId="38" borderId="11" xfId="0" applyNumberFormat="1" applyFont="1" applyFill="1" applyBorder="1" applyAlignment="1" applyProtection="1">
      <protection hidden="1"/>
    </xf>
    <xf numFmtId="167" fontId="21" fillId="38" borderId="11" xfId="0" applyNumberFormat="1" applyFont="1" applyFill="1" applyBorder="1" applyAlignment="1" applyProtection="1">
      <protection hidden="1"/>
    </xf>
    <xf numFmtId="167" fontId="23" fillId="38" borderId="11" xfId="0" applyNumberFormat="1" applyFont="1" applyFill="1" applyBorder="1" applyAlignment="1" applyProtection="1">
      <protection hidden="1"/>
    </xf>
    <xf numFmtId="168" fontId="23" fillId="38" borderId="11" xfId="0" applyNumberFormat="1" applyFont="1" applyFill="1" applyBorder="1" applyAlignment="1" applyProtection="1">
      <protection hidden="1"/>
    </xf>
    <xf numFmtId="0" fontId="23" fillId="38" borderId="11" xfId="0" applyFont="1" applyFill="1" applyBorder="1" applyAlignment="1" applyProtection="1">
      <protection hidden="1"/>
    </xf>
    <xf numFmtId="0" fontId="23" fillId="38" borderId="12" xfId="0" applyFont="1" applyFill="1" applyBorder="1" applyAlignment="1" applyProtection="1">
      <protection hidden="1"/>
    </xf>
    <xf numFmtId="0" fontId="22" fillId="38" borderId="14" xfId="0" applyFont="1" applyFill="1" applyBorder="1" applyAlignment="1" applyProtection="1">
      <protection hidden="1"/>
    </xf>
    <xf numFmtId="0" fontId="21" fillId="38" borderId="14" xfId="0" applyFont="1" applyFill="1" applyBorder="1" applyAlignment="1" applyProtection="1">
      <protection hidden="1"/>
    </xf>
    <xf numFmtId="3" fontId="21" fillId="38" borderId="14" xfId="0" applyNumberFormat="1" applyFont="1" applyFill="1" applyBorder="1" applyAlignment="1" applyProtection="1">
      <protection hidden="1"/>
    </xf>
    <xf numFmtId="168" fontId="19" fillId="38" borderId="13" xfId="0" applyNumberFormat="1" applyFont="1" applyFill="1" applyBorder="1" applyAlignment="1" applyProtection="1">
      <protection hidden="1"/>
    </xf>
    <xf numFmtId="168" fontId="0" fillId="38" borderId="13" xfId="0" applyNumberFormat="1" applyFill="1" applyBorder="1" applyAlignment="1" applyProtection="1">
      <protection hidden="1"/>
    </xf>
    <xf numFmtId="0" fontId="23" fillId="38" borderId="13" xfId="0" applyFont="1" applyFill="1" applyBorder="1" applyAlignment="1" applyProtection="1">
      <protection hidden="1"/>
    </xf>
    <xf numFmtId="0" fontId="0" fillId="38" borderId="13" xfId="0" applyFill="1" applyBorder="1" applyAlignment="1" applyProtection="1">
      <protection hidden="1"/>
    </xf>
    <xf numFmtId="0" fontId="23" fillId="38" borderId="15" xfId="0" applyFont="1" applyFill="1" applyBorder="1" applyAlignment="1" applyProtection="1">
      <protection hidden="1"/>
    </xf>
    <xf numFmtId="3" fontId="23" fillId="38" borderId="15" xfId="0" applyNumberFormat="1" applyFont="1" applyFill="1" applyBorder="1" applyAlignment="1" applyProtection="1">
      <protection hidden="1"/>
    </xf>
    <xf numFmtId="167" fontId="23" fillId="38" borderId="13" xfId="0" applyNumberFormat="1" applyFont="1" applyFill="1" applyBorder="1" applyAlignment="1" applyProtection="1">
      <alignment wrapText="1"/>
      <protection hidden="1"/>
    </xf>
    <xf numFmtId="168" fontId="23" fillId="38" borderId="13" xfId="0" applyNumberFormat="1" applyFont="1" applyFill="1" applyBorder="1" applyAlignment="1" applyProtection="1">
      <alignment wrapText="1"/>
      <protection hidden="1"/>
    </xf>
    <xf numFmtId="0" fontId="23" fillId="38" borderId="13" xfId="0" applyFont="1" applyFill="1" applyBorder="1" applyAlignment="1" applyProtection="1">
      <protection hidden="1"/>
    </xf>
    <xf numFmtId="0" fontId="23" fillId="38" borderId="13" xfId="0" applyFont="1" applyFill="1" applyBorder="1" applyAlignment="1" applyProtection="1">
      <alignment wrapText="1"/>
      <protection hidden="1"/>
    </xf>
    <xf numFmtId="0" fontId="26" fillId="38" borderId="10" xfId="0" applyFont="1" applyFill="1" applyBorder="1" applyAlignment="1" applyProtection="1">
      <protection hidden="1"/>
    </xf>
    <xf numFmtId="0" fontId="0" fillId="38" borderId="11" xfId="0" applyFill="1" applyBorder="1" applyAlignment="1" applyProtection="1">
      <protection hidden="1"/>
    </xf>
    <xf numFmtId="3" fontId="26" fillId="38" borderId="13" xfId="0" applyNumberFormat="1" applyFont="1" applyFill="1" applyBorder="1" applyAlignment="1" applyProtection="1">
      <alignment wrapText="1"/>
      <protection hidden="1"/>
    </xf>
    <xf numFmtId="49" fontId="0" fillId="0" borderId="13" xfId="0" applyNumberFormat="1" applyBorder="1" applyProtection="1">
      <protection hidden="1"/>
    </xf>
    <xf numFmtId="168" fontId="0" fillId="0" borderId="24" xfId="42" applyNumberFormat="1" applyFont="1" applyBorder="1" applyProtection="1">
      <protection hidden="1"/>
    </xf>
    <xf numFmtId="168" fontId="0" fillId="0" borderId="24" xfId="75" applyNumberFormat="1" applyFont="1" applyBorder="1" applyAlignment="1" applyProtection="1">
      <alignment horizontal="right"/>
      <protection hidden="1"/>
    </xf>
    <xf numFmtId="168" fontId="0" fillId="0" borderId="13" xfId="0" applyNumberFormat="1" applyBorder="1" applyAlignment="1" applyProtection="1">
      <protection hidden="1"/>
    </xf>
    <xf numFmtId="0" fontId="27" fillId="0" borderId="24" xfId="0" applyFont="1" applyFill="1" applyBorder="1" applyAlignment="1" applyProtection="1">
      <alignment horizontal="center"/>
      <protection hidden="1"/>
    </xf>
    <xf numFmtId="168" fontId="0" fillId="0" borderId="13" xfId="0" applyNumberFormat="1" applyBorder="1" applyAlignment="1" applyProtection="1">
      <alignment horizontal="right"/>
      <protection hidden="1"/>
    </xf>
    <xf numFmtId="168" fontId="0" fillId="39" borderId="24" xfId="0" applyNumberFormat="1" applyFill="1" applyBorder="1" applyAlignment="1" applyProtection="1">
      <alignment horizontal="right"/>
      <protection hidden="1"/>
    </xf>
    <xf numFmtId="168" fontId="0" fillId="39" borderId="13" xfId="0" applyNumberFormat="1" applyFill="1" applyBorder="1" applyAlignment="1" applyProtection="1">
      <alignment horizontal="right"/>
      <protection hidden="1"/>
    </xf>
    <xf numFmtId="168" fontId="0" fillId="0" borderId="24" xfId="42" applyNumberFormat="1" applyFont="1" applyBorder="1" applyAlignment="1" applyProtection="1">
      <alignment horizontal="right"/>
      <protection hidden="1"/>
    </xf>
    <xf numFmtId="168" fontId="0" fillId="0" borderId="24" xfId="0" applyNumberFormat="1" applyFill="1" applyBorder="1" applyAlignment="1" applyProtection="1">
      <alignment horizontal="right"/>
      <protection hidden="1"/>
    </xf>
    <xf numFmtId="168" fontId="0" fillId="0" borderId="24" xfId="0" applyNumberFormat="1" applyBorder="1" applyAlignment="1" applyProtection="1">
      <alignment horizontal="right"/>
      <protection hidden="1"/>
    </xf>
    <xf numFmtId="0" fontId="0" fillId="39" borderId="24" xfId="0" applyFont="1" applyFill="1" applyBorder="1" applyAlignment="1" applyProtection="1">
      <alignment horizontal="center"/>
      <protection hidden="1"/>
    </xf>
    <xf numFmtId="168" fontId="0" fillId="0" borderId="24" xfId="0" applyNumberFormat="1" applyBorder="1" applyAlignment="1" applyProtection="1">
      <protection hidden="1"/>
    </xf>
    <xf numFmtId="167" fontId="23" fillId="38" borderId="13" xfId="0" applyNumberFormat="1" applyFont="1" applyFill="1" applyBorder="1" applyAlignment="1" applyProtection="1">
      <protection hidden="1"/>
    </xf>
    <xf numFmtId="168" fontId="23" fillId="38" borderId="13" xfId="0" applyNumberFormat="1" applyFont="1" applyFill="1" applyBorder="1" applyAlignment="1" applyProtection="1">
      <protection hidden="1"/>
    </xf>
    <xf numFmtId="165" fontId="23" fillId="38" borderId="13" xfId="0" applyNumberFormat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49" fontId="0" fillId="0" borderId="0" xfId="0" applyNumberFormat="1" applyAlignment="1" applyProtection="1">
      <protection hidden="1"/>
    </xf>
    <xf numFmtId="3" fontId="0" fillId="0" borderId="0" xfId="0" applyNumberFormat="1" applyAlignment="1" applyProtection="1">
      <protection hidden="1"/>
    </xf>
    <xf numFmtId="167" fontId="0" fillId="0" borderId="0" xfId="0" applyNumberFormat="1" applyAlignment="1" applyProtection="1">
      <protection hidden="1"/>
    </xf>
    <xf numFmtId="168" fontId="0" fillId="0" borderId="0" xfId="0" applyNumberFormat="1" applyAlignment="1" applyProtection="1">
      <protection hidden="1"/>
    </xf>
    <xf numFmtId="168" fontId="0" fillId="0" borderId="24" xfId="75" applyNumberFormat="1" applyFont="1" applyBorder="1" applyProtection="1">
      <protection hidden="1"/>
    </xf>
    <xf numFmtId="49" fontId="22" fillId="38" borderId="11" xfId="0" applyNumberFormat="1" applyFont="1" applyFill="1" applyBorder="1" applyProtection="1">
      <protection hidden="1"/>
    </xf>
    <xf numFmtId="167" fontId="23" fillId="38" borderId="13" xfId="0" applyNumberFormat="1" applyFont="1" applyFill="1" applyBorder="1" applyAlignment="1" applyProtection="1">
      <alignment horizontal="right"/>
      <protection hidden="1"/>
    </xf>
    <xf numFmtId="168" fontId="23" fillId="38" borderId="13" xfId="0" applyNumberFormat="1" applyFont="1" applyFill="1" applyBorder="1" applyAlignment="1" applyProtection="1">
      <alignment horizontal="right"/>
      <protection hidden="1"/>
    </xf>
    <xf numFmtId="0" fontId="23" fillId="38" borderId="13" xfId="0" applyFont="1" applyFill="1" applyBorder="1" applyAlignment="1" applyProtection="1">
      <alignment horizontal="right"/>
      <protection hidden="1"/>
    </xf>
    <xf numFmtId="165" fontId="23" fillId="38" borderId="13" xfId="0" applyNumberFormat="1" applyFont="1" applyFill="1" applyBorder="1" applyAlignment="1" applyProtection="1">
      <alignment horizontal="right"/>
      <protection hidden="1"/>
    </xf>
    <xf numFmtId="0" fontId="23" fillId="38" borderId="10" xfId="0" applyFont="1" applyFill="1" applyBorder="1" applyAlignment="1" applyProtection="1">
      <protection hidden="1"/>
    </xf>
    <xf numFmtId="168" fontId="0" fillId="0" borderId="24" xfId="0" applyNumberFormat="1" applyFill="1" applyBorder="1" applyProtection="1">
      <protection hidden="1"/>
    </xf>
    <xf numFmtId="168" fontId="0" fillId="0" borderId="13" xfId="0" applyNumberFormat="1" applyFill="1" applyBorder="1" applyAlignment="1" applyProtection="1">
      <alignment horizontal="right"/>
      <protection hidden="1"/>
    </xf>
    <xf numFmtId="0" fontId="0" fillId="39" borderId="13" xfId="0" applyFill="1" applyBorder="1" applyAlignment="1" applyProtection="1">
      <alignment horizontal="center"/>
      <protection hidden="1"/>
    </xf>
    <xf numFmtId="168" fontId="0" fillId="0" borderId="24" xfId="42" applyNumberFormat="1" applyFont="1" applyFill="1" applyBorder="1" applyAlignment="1" applyProtection="1">
      <alignment horizontal="right"/>
      <protection hidden="1"/>
    </xf>
    <xf numFmtId="167" fontId="23" fillId="38" borderId="13" xfId="0" applyNumberFormat="1" applyFont="1" applyFill="1" applyBorder="1" applyProtection="1">
      <protection hidden="1"/>
    </xf>
    <xf numFmtId="168" fontId="23" fillId="38" borderId="13" xfId="0" applyNumberFormat="1" applyFont="1" applyFill="1" applyBorder="1" applyProtection="1">
      <protection hidden="1"/>
    </xf>
    <xf numFmtId="16" fontId="0" fillId="0" borderId="0" xfId="0" quotePrefix="1" applyNumberFormat="1" applyBorder="1" applyAlignment="1" applyProtection="1">
      <alignment vertical="center"/>
      <protection hidden="1"/>
    </xf>
    <xf numFmtId="3" fontId="0" fillId="0" borderId="0" xfId="0" applyNumberFormat="1" applyBorder="1" applyProtection="1">
      <protection hidden="1"/>
    </xf>
    <xf numFmtId="3" fontId="0" fillId="0" borderId="0" xfId="0" applyNumberFormat="1" applyFill="1" applyBorder="1" applyProtection="1">
      <protection hidden="1"/>
    </xf>
    <xf numFmtId="0" fontId="16" fillId="0" borderId="0" xfId="0" applyFont="1" applyProtection="1">
      <protection hidden="1"/>
    </xf>
    <xf numFmtId="0" fontId="16" fillId="38" borderId="14" xfId="0" applyFont="1" applyFill="1" applyBorder="1" applyAlignment="1" applyProtection="1">
      <protection hidden="1"/>
    </xf>
    <xf numFmtId="0" fontId="16" fillId="38" borderId="14" xfId="0" applyFont="1" applyFill="1" applyBorder="1" applyAlignment="1" applyProtection="1">
      <alignment horizontal="center" vertical="center" wrapText="1"/>
      <protection hidden="1"/>
    </xf>
    <xf numFmtId="3" fontId="32" fillId="38" borderId="10" xfId="0" applyNumberFormat="1" applyFont="1" applyFill="1" applyBorder="1" applyAlignment="1" applyProtection="1">
      <alignment horizontal="center"/>
      <protection hidden="1"/>
    </xf>
    <xf numFmtId="0" fontId="16" fillId="38" borderId="11" xfId="0" applyFont="1" applyFill="1" applyBorder="1" applyAlignment="1" applyProtection="1">
      <alignment horizontal="center"/>
      <protection hidden="1"/>
    </xf>
    <xf numFmtId="0" fontId="16" fillId="38" borderId="12" xfId="0" applyFont="1" applyFill="1" applyBorder="1" applyAlignment="1" applyProtection="1">
      <alignment horizontal="center"/>
      <protection hidden="1"/>
    </xf>
    <xf numFmtId="0" fontId="16" fillId="38" borderId="15" xfId="0" applyFont="1" applyFill="1" applyBorder="1" applyAlignment="1" applyProtection="1">
      <protection hidden="1"/>
    </xf>
    <xf numFmtId="0" fontId="32" fillId="38" borderId="15" xfId="0" applyFont="1" applyFill="1" applyBorder="1" applyAlignment="1" applyProtection="1">
      <alignment horizontal="center" vertical="center" wrapText="1"/>
      <protection hidden="1"/>
    </xf>
    <xf numFmtId="164" fontId="32" fillId="38" borderId="14" xfId="0" applyNumberFormat="1" applyFont="1" applyFill="1" applyBorder="1" applyAlignment="1" applyProtection="1">
      <alignment horizontal="center" wrapText="1"/>
      <protection hidden="1"/>
    </xf>
    <xf numFmtId="167" fontId="36" fillId="38" borderId="12" xfId="0" applyNumberFormat="1" applyFont="1" applyFill="1" applyBorder="1" applyAlignment="1" applyProtection="1">
      <alignment horizontal="center" wrapText="1"/>
      <protection hidden="1"/>
    </xf>
    <xf numFmtId="167" fontId="36" fillId="38" borderId="13" xfId="0" applyNumberFormat="1" applyFont="1" applyFill="1" applyBorder="1" applyAlignment="1" applyProtection="1">
      <alignment horizontal="center" wrapText="1"/>
      <protection hidden="1"/>
    </xf>
    <xf numFmtId="3" fontId="30" fillId="0" borderId="13" xfId="0" applyNumberFormat="1" applyFont="1" applyFill="1" applyBorder="1" applyProtection="1">
      <protection hidden="1"/>
    </xf>
    <xf numFmtId="164" fontId="33" fillId="0" borderId="13" xfId="0" applyNumberFormat="1" applyFont="1" applyFill="1" applyBorder="1" applyProtection="1">
      <protection hidden="1"/>
    </xf>
    <xf numFmtId="166" fontId="30" fillId="0" borderId="13" xfId="0" applyNumberFormat="1" applyFont="1" applyFill="1" applyBorder="1" applyProtection="1">
      <protection hidden="1"/>
    </xf>
    <xf numFmtId="1" fontId="33" fillId="0" borderId="13" xfId="0" applyNumberFormat="1" applyFont="1" applyFill="1" applyBorder="1" applyProtection="1">
      <protection hidden="1"/>
    </xf>
    <xf numFmtId="164" fontId="30" fillId="0" borderId="13" xfId="0" applyNumberFormat="1" applyFont="1" applyFill="1" applyBorder="1" applyProtection="1">
      <protection hidden="1"/>
    </xf>
    <xf numFmtId="1" fontId="30" fillId="0" borderId="13" xfId="0" applyNumberFormat="1" applyFont="1" applyFill="1" applyBorder="1" applyProtection="1">
      <protection hidden="1"/>
    </xf>
    <xf numFmtId="0" fontId="36" fillId="38" borderId="13" xfId="0" applyFont="1" applyFill="1" applyBorder="1" applyProtection="1">
      <protection hidden="1"/>
    </xf>
    <xf numFmtId="3" fontId="16" fillId="38" borderId="13" xfId="0" applyNumberFormat="1" applyFont="1" applyFill="1" applyBorder="1" applyProtection="1">
      <protection hidden="1"/>
    </xf>
    <xf numFmtId="3" fontId="16" fillId="38" borderId="13" xfId="0" applyNumberFormat="1" applyFont="1" applyFill="1" applyBorder="1" applyAlignment="1" applyProtection="1">
      <protection hidden="1"/>
    </xf>
    <xf numFmtId="164" fontId="16" fillId="38" borderId="13" xfId="0" applyNumberFormat="1" applyFont="1" applyFill="1" applyBorder="1" applyAlignment="1" applyProtection="1">
      <protection hidden="1"/>
    </xf>
    <xf numFmtId="166" fontId="16" fillId="38" borderId="13" xfId="0" applyNumberFormat="1" applyFont="1" applyFill="1" applyBorder="1" applyAlignment="1" applyProtection="1">
      <protection hidden="1"/>
    </xf>
    <xf numFmtId="1" fontId="16" fillId="38" borderId="13" xfId="0" applyNumberFormat="1" applyFont="1" applyFill="1" applyBorder="1" applyAlignment="1" applyProtection="1">
      <protection hidden="1"/>
    </xf>
    <xf numFmtId="3" fontId="21" fillId="39" borderId="14" xfId="0" applyNumberFormat="1" applyFont="1" applyFill="1" applyBorder="1" applyProtection="1">
      <protection hidden="1"/>
    </xf>
    <xf numFmtId="3" fontId="23" fillId="39" borderId="10" xfId="0" applyNumberFormat="1" applyFont="1" applyFill="1" applyBorder="1" applyAlignment="1" applyProtection="1">
      <alignment horizontal="center"/>
      <protection hidden="1"/>
    </xf>
    <xf numFmtId="0" fontId="20" fillId="39" borderId="11" xfId="0" applyFont="1" applyFill="1" applyBorder="1" applyAlignment="1" applyProtection="1">
      <alignment horizontal="center"/>
      <protection hidden="1"/>
    </xf>
    <xf numFmtId="0" fontId="20" fillId="39" borderId="12" xfId="0" applyFont="1" applyFill="1" applyBorder="1" applyAlignment="1" applyProtection="1">
      <alignment horizontal="center"/>
      <protection hidden="1"/>
    </xf>
    <xf numFmtId="167" fontId="22" fillId="39" borderId="10" xfId="0" applyNumberFormat="1" applyFont="1" applyFill="1" applyBorder="1" applyAlignment="1" applyProtection="1">
      <alignment horizontal="center" wrapText="1"/>
      <protection hidden="1"/>
    </xf>
    <xf numFmtId="0" fontId="20" fillId="39" borderId="12" xfId="0" applyFont="1" applyFill="1" applyBorder="1" applyAlignment="1" applyProtection="1">
      <alignment horizontal="center" wrapText="1"/>
      <protection hidden="1"/>
    </xf>
    <xf numFmtId="3" fontId="23" fillId="39" borderId="15" xfId="0" applyNumberFormat="1" applyFont="1" applyFill="1" applyBorder="1" applyProtection="1">
      <protection hidden="1"/>
    </xf>
    <xf numFmtId="3" fontId="23" fillId="39" borderId="15" xfId="0" applyNumberFormat="1" applyFont="1" applyFill="1" applyBorder="1" applyAlignment="1" applyProtection="1">
      <alignment horizontal="center" wrapText="1"/>
      <protection hidden="1"/>
    </xf>
    <xf numFmtId="164" fontId="23" fillId="39" borderId="15" xfId="0" applyNumberFormat="1" applyFont="1" applyFill="1" applyBorder="1" applyAlignment="1" applyProtection="1">
      <alignment horizontal="center" wrapText="1"/>
      <protection hidden="1"/>
    </xf>
    <xf numFmtId="167" fontId="22" fillId="39" borderId="14" xfId="0" applyNumberFormat="1" applyFont="1" applyFill="1" applyBorder="1" applyAlignment="1" applyProtection="1">
      <alignment horizontal="center" wrapText="1"/>
      <protection hidden="1"/>
    </xf>
    <xf numFmtId="0" fontId="26" fillId="39" borderId="10" xfId="0" applyFont="1" applyFill="1" applyBorder="1" applyAlignment="1" applyProtection="1">
      <alignment horizontal="right"/>
      <protection hidden="1"/>
    </xf>
    <xf numFmtId="0" fontId="20" fillId="39" borderId="11" xfId="0" applyFont="1" applyFill="1" applyBorder="1" applyAlignment="1" applyProtection="1">
      <alignment horizontal="right"/>
      <protection hidden="1"/>
    </xf>
    <xf numFmtId="0" fontId="20" fillId="39" borderId="12" xfId="0" applyFont="1" applyFill="1" applyBorder="1" applyAlignment="1" applyProtection="1">
      <alignment horizontal="right"/>
      <protection hidden="1"/>
    </xf>
    <xf numFmtId="3" fontId="26" fillId="39" borderId="13" xfId="0" applyNumberFormat="1" applyFont="1" applyFill="1" applyBorder="1" applyProtection="1">
      <protection hidden="1"/>
    </xf>
    <xf numFmtId="0" fontId="36" fillId="38" borderId="10" xfId="0" applyFont="1" applyFill="1" applyBorder="1" applyProtection="1">
      <protection hidden="1"/>
    </xf>
    <xf numFmtId="0" fontId="33" fillId="38" borderId="11" xfId="0" applyFont="1" applyFill="1" applyBorder="1" applyProtection="1">
      <protection hidden="1"/>
    </xf>
    <xf numFmtId="3" fontId="33" fillId="38" borderId="11" xfId="0" applyNumberFormat="1" applyFont="1" applyFill="1" applyBorder="1" applyProtection="1">
      <protection hidden="1"/>
    </xf>
    <xf numFmtId="3" fontId="32" fillId="38" borderId="11" xfId="0" applyNumberFormat="1" applyFont="1" applyFill="1" applyBorder="1" applyAlignment="1" applyProtection="1">
      <alignment horizontal="center"/>
      <protection hidden="1"/>
    </xf>
    <xf numFmtId="164" fontId="0" fillId="38" borderId="11" xfId="0" applyNumberFormat="1" applyFont="1" applyFill="1" applyBorder="1" applyAlignment="1" applyProtection="1">
      <alignment horizontal="center"/>
      <protection hidden="1"/>
    </xf>
    <xf numFmtId="3" fontId="0" fillId="38" borderId="11" xfId="0" applyNumberFormat="1" applyFont="1" applyFill="1" applyBorder="1" applyAlignment="1" applyProtection="1">
      <alignment horizontal="center"/>
      <protection hidden="1"/>
    </xf>
    <xf numFmtId="167" fontId="33" fillId="38" borderId="11" xfId="0" applyNumberFormat="1" applyFont="1" applyFill="1" applyBorder="1" applyAlignment="1" applyProtection="1">
      <protection hidden="1"/>
    </xf>
    <xf numFmtId="167" fontId="33" fillId="38" borderId="12" xfId="0" applyNumberFormat="1" applyFont="1" applyFill="1" applyBorder="1" applyAlignment="1" applyProtection="1">
      <protection hidden="1"/>
    </xf>
    <xf numFmtId="0" fontId="36" fillId="38" borderId="14" xfId="0" applyFont="1" applyFill="1" applyBorder="1" applyProtection="1">
      <protection hidden="1"/>
    </xf>
    <xf numFmtId="0" fontId="33" fillId="38" borderId="14" xfId="0" applyFont="1" applyFill="1" applyBorder="1" applyProtection="1">
      <protection hidden="1"/>
    </xf>
    <xf numFmtId="3" fontId="33" fillId="38" borderId="14" xfId="0" applyNumberFormat="1" applyFont="1" applyFill="1" applyBorder="1" applyProtection="1">
      <protection hidden="1"/>
    </xf>
    <xf numFmtId="167" fontId="36" fillId="38" borderId="10" xfId="0" applyNumberFormat="1" applyFont="1" applyFill="1" applyBorder="1" applyAlignment="1" applyProtection="1">
      <alignment horizontal="center" wrapText="1"/>
      <protection hidden="1"/>
    </xf>
    <xf numFmtId="0" fontId="32" fillId="38" borderId="15" xfId="0" applyFont="1" applyFill="1" applyBorder="1" applyProtection="1">
      <protection hidden="1"/>
    </xf>
    <xf numFmtId="3" fontId="32" fillId="38" borderId="15" xfId="0" applyNumberFormat="1" applyFont="1" applyFill="1" applyBorder="1" applyProtection="1">
      <protection hidden="1"/>
    </xf>
    <xf numFmtId="3" fontId="32" fillId="38" borderId="15" xfId="0" applyNumberFormat="1" applyFont="1" applyFill="1" applyBorder="1" applyAlignment="1" applyProtection="1">
      <alignment horizontal="center" wrapText="1"/>
      <protection hidden="1"/>
    </xf>
    <xf numFmtId="164" fontId="32" fillId="38" borderId="15" xfId="0" applyNumberFormat="1" applyFont="1" applyFill="1" applyBorder="1" applyAlignment="1" applyProtection="1">
      <alignment horizontal="center" wrapText="1"/>
      <protection hidden="1"/>
    </xf>
    <xf numFmtId="167" fontId="36" fillId="38" borderId="14" xfId="0" applyNumberFormat="1" applyFont="1" applyFill="1" applyBorder="1" applyAlignment="1" applyProtection="1">
      <alignment horizontal="center" wrapText="1"/>
      <protection hidden="1"/>
    </xf>
    <xf numFmtId="0" fontId="37" fillId="38" borderId="10" xfId="0" applyFont="1" applyFill="1" applyBorder="1" applyAlignment="1" applyProtection="1">
      <alignment horizontal="right"/>
      <protection hidden="1"/>
    </xf>
    <xf numFmtId="0" fontId="0" fillId="38" borderId="11" xfId="0" applyFont="1" applyFill="1" applyBorder="1" applyAlignment="1" applyProtection="1">
      <alignment horizontal="right"/>
      <protection hidden="1"/>
    </xf>
    <xf numFmtId="0" fontId="0" fillId="38" borderId="12" xfId="0" applyFont="1" applyFill="1" applyBorder="1" applyAlignment="1" applyProtection="1">
      <alignment horizontal="right"/>
      <protection hidden="1"/>
    </xf>
    <xf numFmtId="3" fontId="37" fillId="38" borderId="13" xfId="0" applyNumberFormat="1" applyFont="1" applyFill="1" applyBorder="1" applyAlignment="1" applyProtection="1">
      <alignment horizontal="center" wrapText="1"/>
      <protection hidden="1"/>
    </xf>
    <xf numFmtId="0" fontId="0" fillId="0" borderId="24" xfId="42" applyNumberFormat="1" applyFont="1" applyBorder="1" applyAlignment="1" applyProtection="1">
      <alignment horizontal="right"/>
      <protection hidden="1"/>
    </xf>
    <xf numFmtId="164" fontId="0" fillId="0" borderId="13" xfId="0" applyNumberFormat="1" applyFont="1" applyBorder="1" applyAlignment="1" applyProtection="1">
      <alignment horizontal="right"/>
      <protection hidden="1"/>
    </xf>
    <xf numFmtId="2" fontId="0" fillId="0" borderId="24" xfId="42" applyNumberFormat="1" applyFont="1" applyBorder="1" applyAlignment="1" applyProtection="1">
      <alignment horizontal="right"/>
      <protection hidden="1"/>
    </xf>
    <xf numFmtId="0" fontId="0" fillId="0" borderId="24" xfId="0" applyNumberFormat="1" applyFont="1" applyFill="1" applyBorder="1" applyAlignment="1" applyProtection="1">
      <alignment horizontal="right"/>
      <protection hidden="1"/>
    </xf>
    <xf numFmtId="0" fontId="0" fillId="0" borderId="13" xfId="0" applyFont="1" applyBorder="1" applyAlignment="1" applyProtection="1">
      <alignment horizontal="right"/>
      <protection hidden="1"/>
    </xf>
    <xf numFmtId="2" fontId="0" fillId="39" borderId="24" xfId="42" applyNumberFormat="1" applyFont="1" applyFill="1" applyBorder="1" applyAlignment="1" applyProtection="1">
      <alignment horizontal="right"/>
      <protection hidden="1"/>
    </xf>
    <xf numFmtId="2" fontId="0" fillId="39" borderId="24" xfId="0" applyNumberFormat="1" applyFont="1" applyFill="1" applyBorder="1" applyAlignment="1" applyProtection="1">
      <alignment horizontal="right"/>
      <protection hidden="1"/>
    </xf>
    <xf numFmtId="0" fontId="0" fillId="39" borderId="24" xfId="0" applyNumberFormat="1" applyFont="1" applyFill="1" applyBorder="1" applyAlignment="1" applyProtection="1">
      <alignment horizontal="right"/>
      <protection hidden="1"/>
    </xf>
    <xf numFmtId="0" fontId="0" fillId="39" borderId="13" xfId="0" applyFont="1" applyFill="1" applyBorder="1" applyAlignment="1" applyProtection="1">
      <alignment horizontal="right"/>
      <protection hidden="1"/>
    </xf>
    <xf numFmtId="49" fontId="0" fillId="0" borderId="24" xfId="0" applyNumberFormat="1" applyFont="1" applyBorder="1" applyProtection="1">
      <protection hidden="1"/>
    </xf>
    <xf numFmtId="164" fontId="0" fillId="0" borderId="24" xfId="0" applyNumberFormat="1" applyFont="1" applyBorder="1" applyAlignment="1" applyProtection="1">
      <alignment horizontal="right"/>
      <protection hidden="1"/>
    </xf>
    <xf numFmtId="0" fontId="0" fillId="0" borderId="24" xfId="0" applyFont="1" applyBorder="1" applyAlignment="1" applyProtection="1">
      <alignment horizontal="right"/>
      <protection hidden="1"/>
    </xf>
    <xf numFmtId="164" fontId="0" fillId="39" borderId="24" xfId="0" applyNumberFormat="1" applyFont="1" applyFill="1" applyBorder="1" applyAlignment="1" applyProtection="1">
      <alignment horizontal="right"/>
      <protection hidden="1"/>
    </xf>
    <xf numFmtId="0" fontId="33" fillId="38" borderId="16" xfId="0" applyFont="1" applyFill="1" applyBorder="1" applyProtection="1">
      <protection hidden="1"/>
    </xf>
    <xf numFmtId="0" fontId="36" fillId="38" borderId="18" xfId="0" applyFont="1" applyFill="1" applyBorder="1" applyProtection="1">
      <protection hidden="1"/>
    </xf>
    <xf numFmtId="0" fontId="36" fillId="38" borderId="11" xfId="0" applyFont="1" applyFill="1" applyBorder="1" applyProtection="1">
      <protection hidden="1"/>
    </xf>
    <xf numFmtId="3" fontId="36" fillId="38" borderId="13" xfId="0" applyNumberFormat="1" applyFont="1" applyFill="1" applyBorder="1" applyProtection="1">
      <protection hidden="1"/>
    </xf>
    <xf numFmtId="3" fontId="32" fillId="38" borderId="13" xfId="0" applyNumberFormat="1" applyFont="1" applyFill="1" applyBorder="1" applyProtection="1">
      <protection hidden="1"/>
    </xf>
    <xf numFmtId="3" fontId="32" fillId="38" borderId="13" xfId="0" applyNumberFormat="1" applyFont="1" applyFill="1" applyBorder="1" applyAlignment="1" applyProtection="1">
      <alignment horizontal="right"/>
      <protection hidden="1"/>
    </xf>
    <xf numFmtId="164" fontId="32" fillId="38" borderId="13" xfId="0" applyNumberFormat="1" applyFont="1" applyFill="1" applyBorder="1" applyAlignment="1" applyProtection="1">
      <alignment horizontal="right"/>
      <protection hidden="1"/>
    </xf>
    <xf numFmtId="0" fontId="36" fillId="38" borderId="13" xfId="0" applyFont="1" applyFill="1" applyBorder="1" applyAlignment="1" applyProtection="1">
      <alignment horizontal="right"/>
      <protection hidden="1"/>
    </xf>
    <xf numFmtId="2" fontId="33" fillId="38" borderId="19" xfId="0" applyNumberFormat="1" applyFont="1" applyFill="1" applyBorder="1" applyProtection="1">
      <protection hidden="1"/>
    </xf>
    <xf numFmtId="2" fontId="36" fillId="38" borderId="20" xfId="0" applyNumberFormat="1" applyFont="1" applyFill="1" applyBorder="1" applyProtection="1">
      <protection hidden="1"/>
    </xf>
    <xf numFmtId="2" fontId="36" fillId="38" borderId="11" xfId="0" applyNumberFormat="1" applyFont="1" applyFill="1" applyBorder="1" applyProtection="1">
      <protection hidden="1"/>
    </xf>
    <xf numFmtId="166" fontId="36" fillId="38" borderId="13" xfId="0" applyNumberFormat="1" applyFont="1" applyFill="1" applyBorder="1" applyProtection="1">
      <protection hidden="1"/>
    </xf>
    <xf numFmtId="166" fontId="32" fillId="38" borderId="13" xfId="0" applyNumberFormat="1" applyFont="1" applyFill="1" applyBorder="1" applyProtection="1">
      <protection hidden="1"/>
    </xf>
    <xf numFmtId="166" fontId="32" fillId="38" borderId="13" xfId="0" applyNumberFormat="1" applyFont="1" applyFill="1" applyBorder="1" applyAlignment="1" applyProtection="1">
      <alignment horizontal="right"/>
      <protection hidden="1"/>
    </xf>
    <xf numFmtId="1" fontId="32" fillId="38" borderId="13" xfId="655" applyNumberFormat="1" applyFont="1" applyFill="1" applyBorder="1" applyAlignment="1" applyProtection="1">
      <alignment horizontal="right"/>
      <protection hidden="1"/>
    </xf>
    <xf numFmtId="3" fontId="36" fillId="38" borderId="13" xfId="0" applyNumberFormat="1" applyFont="1" applyFill="1" applyBorder="1" applyAlignment="1" applyProtection="1">
      <alignment horizontal="right"/>
      <protection hidden="1"/>
    </xf>
    <xf numFmtId="2" fontId="33" fillId="38" borderId="21" xfId="0" applyNumberFormat="1" applyFont="1" applyFill="1" applyBorder="1" applyProtection="1">
      <protection hidden="1"/>
    </xf>
    <xf numFmtId="2" fontId="36" fillId="38" borderId="23" xfId="0" applyNumberFormat="1" applyFont="1" applyFill="1" applyBorder="1" applyProtection="1">
      <protection hidden="1"/>
    </xf>
    <xf numFmtId="164" fontId="36" fillId="38" borderId="13" xfId="0" applyNumberFormat="1" applyFont="1" applyFill="1" applyBorder="1" applyProtection="1">
      <protection hidden="1"/>
    </xf>
    <xf numFmtId="1" fontId="36" fillId="38" borderId="13" xfId="0" applyNumberFormat="1" applyFont="1" applyFill="1" applyBorder="1" applyAlignment="1" applyProtection="1">
      <alignment horizontal="right"/>
      <protection hidden="1"/>
    </xf>
    <xf numFmtId="164" fontId="36" fillId="38" borderId="13" xfId="0" applyNumberFormat="1" applyFont="1" applyFill="1" applyBorder="1" applyAlignment="1" applyProtection="1">
      <alignment horizontal="right"/>
      <protection hidden="1"/>
    </xf>
    <xf numFmtId="0" fontId="20" fillId="0" borderId="0" xfId="0" applyFont="1" applyAlignment="1" applyProtection="1">
      <alignment vertical="center"/>
      <protection hidden="1"/>
    </xf>
    <xf numFmtId="49" fontId="20" fillId="0" borderId="0" xfId="0" applyNumberFormat="1" applyFont="1" applyProtection="1">
      <protection hidden="1"/>
    </xf>
    <xf numFmtId="164" fontId="0" fillId="0" borderId="13" xfId="0" applyNumberFormat="1" applyFont="1" applyBorder="1" applyProtection="1">
      <protection hidden="1"/>
    </xf>
    <xf numFmtId="1" fontId="32" fillId="38" borderId="13" xfId="0" applyNumberFormat="1" applyFont="1" applyFill="1" applyBorder="1" applyAlignment="1" applyProtection="1">
      <alignment horizontal="right"/>
      <protection hidden="1"/>
    </xf>
    <xf numFmtId="0" fontId="0" fillId="0" borderId="24" xfId="0" applyFont="1" applyBorder="1" applyProtection="1">
      <protection hidden="1"/>
    </xf>
    <xf numFmtId="0" fontId="30" fillId="0" borderId="24" xfId="0" applyFont="1" applyFill="1" applyBorder="1" applyAlignment="1" applyProtection="1">
      <alignment horizontal="right"/>
      <protection hidden="1"/>
    </xf>
    <xf numFmtId="3" fontId="0" fillId="0" borderId="13" xfId="0" applyNumberFormat="1" applyFont="1" applyFill="1" applyBorder="1" applyAlignment="1" applyProtection="1">
      <alignment horizontal="right"/>
      <protection hidden="1"/>
    </xf>
    <xf numFmtId="164" fontId="0" fillId="0" borderId="24" xfId="0" applyNumberFormat="1" applyFont="1" applyBorder="1" applyProtection="1">
      <protection hidden="1"/>
    </xf>
    <xf numFmtId="166" fontId="36" fillId="38" borderId="13" xfId="0" applyNumberFormat="1" applyFont="1" applyFill="1" applyBorder="1" applyAlignment="1" applyProtection="1">
      <alignment horizontal="right"/>
      <protection hidden="1"/>
    </xf>
    <xf numFmtId="0" fontId="36" fillId="40" borderId="14" xfId="0" applyFont="1" applyFill="1" applyBorder="1" applyProtection="1">
      <protection hidden="1"/>
    </xf>
    <xf numFmtId="0" fontId="33" fillId="40" borderId="14" xfId="0" applyFont="1" applyFill="1" applyBorder="1" applyProtection="1">
      <protection hidden="1"/>
    </xf>
    <xf numFmtId="3" fontId="33" fillId="40" borderId="14" xfId="0" applyNumberFormat="1" applyFont="1" applyFill="1" applyBorder="1" applyProtection="1">
      <protection hidden="1"/>
    </xf>
    <xf numFmtId="0" fontId="0" fillId="0" borderId="13" xfId="0" applyFont="1" applyFill="1" applyBorder="1" applyAlignment="1" applyProtection="1">
      <alignment horizontal="right"/>
      <protection hidden="1"/>
    </xf>
    <xf numFmtId="3" fontId="32" fillId="40" borderId="13" xfId="0" applyNumberFormat="1" applyFont="1" applyFill="1" applyBorder="1" applyAlignment="1" applyProtection="1">
      <alignment horizontal="right"/>
      <protection hidden="1"/>
    </xf>
    <xf numFmtId="164" fontId="32" fillId="40" borderId="13" xfId="0" applyNumberFormat="1" applyFont="1" applyFill="1" applyBorder="1" applyAlignment="1" applyProtection="1">
      <alignment horizontal="right"/>
      <protection hidden="1"/>
    </xf>
    <xf numFmtId="0" fontId="36" fillId="40" borderId="13" xfId="0" applyFont="1" applyFill="1" applyBorder="1" applyAlignment="1" applyProtection="1">
      <alignment horizontal="right"/>
      <protection hidden="1"/>
    </xf>
    <xf numFmtId="3" fontId="36" fillId="40" borderId="13" xfId="0" applyNumberFormat="1" applyFont="1" applyFill="1" applyBorder="1" applyAlignment="1" applyProtection="1">
      <alignment horizontal="right"/>
      <protection hidden="1"/>
    </xf>
    <xf numFmtId="166" fontId="32" fillId="40" borderId="13" xfId="0" applyNumberFormat="1" applyFont="1" applyFill="1" applyBorder="1" applyAlignment="1" applyProtection="1">
      <alignment horizontal="right"/>
      <protection hidden="1"/>
    </xf>
    <xf numFmtId="1" fontId="32" fillId="40" borderId="13" xfId="0" applyNumberFormat="1" applyFont="1" applyFill="1" applyBorder="1" applyAlignment="1" applyProtection="1">
      <alignment horizontal="right"/>
      <protection hidden="1"/>
    </xf>
    <xf numFmtId="1" fontId="36" fillId="40" borderId="13" xfId="0" applyNumberFormat="1" applyFont="1" applyFill="1" applyBorder="1" applyAlignment="1" applyProtection="1">
      <alignment horizontal="right"/>
      <protection hidden="1"/>
    </xf>
    <xf numFmtId="164" fontId="36" fillId="40" borderId="13" xfId="0" applyNumberFormat="1" applyFont="1" applyFill="1" applyBorder="1" applyAlignment="1" applyProtection="1">
      <alignment horizontal="right"/>
      <protection hidden="1"/>
    </xf>
    <xf numFmtId="166" fontId="36" fillId="40" borderId="13" xfId="0" applyNumberFormat="1" applyFont="1" applyFill="1" applyBorder="1" applyAlignment="1" applyProtection="1">
      <alignment horizontal="right"/>
      <protection hidden="1"/>
    </xf>
    <xf numFmtId="0" fontId="0" fillId="0" borderId="13" xfId="0" applyFont="1" applyBorder="1" applyProtection="1">
      <protection hidden="1"/>
    </xf>
    <xf numFmtId="0" fontId="0" fillId="0" borderId="0" xfId="0" applyFont="1" applyFill="1" applyProtection="1">
      <protection hidden="1"/>
    </xf>
    <xf numFmtId="0" fontId="0" fillId="39" borderId="24" xfId="0" applyFont="1" applyFill="1" applyBorder="1" applyProtection="1">
      <protection hidden="1"/>
    </xf>
    <xf numFmtId="3" fontId="32" fillId="40" borderId="13" xfId="0" applyNumberFormat="1" applyFont="1" applyFill="1" applyBorder="1" applyProtection="1">
      <protection hidden="1"/>
    </xf>
    <xf numFmtId="164" fontId="32" fillId="40" borderId="13" xfId="0" applyNumberFormat="1" applyFont="1" applyFill="1" applyBorder="1" applyProtection="1">
      <protection hidden="1"/>
    </xf>
    <xf numFmtId="0" fontId="36" fillId="40" borderId="13" xfId="0" applyFont="1" applyFill="1" applyBorder="1" applyProtection="1">
      <protection hidden="1"/>
    </xf>
    <xf numFmtId="166" fontId="32" fillId="40" borderId="13" xfId="0" applyNumberFormat="1" applyFont="1" applyFill="1" applyBorder="1" applyProtection="1">
      <protection hidden="1"/>
    </xf>
    <xf numFmtId="1" fontId="32" fillId="40" borderId="13" xfId="0" applyNumberFormat="1" applyFont="1" applyFill="1" applyBorder="1" applyProtection="1"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41" borderId="24" xfId="0" applyFont="1" applyFill="1" applyBorder="1" applyAlignment="1" applyProtection="1">
      <alignment horizontal="right"/>
      <protection hidden="1"/>
    </xf>
    <xf numFmtId="0" fontId="30" fillId="41" borderId="24" xfId="0" applyFont="1" applyFill="1" applyBorder="1" applyAlignment="1" applyProtection="1">
      <alignment horizontal="right"/>
      <protection hidden="1"/>
    </xf>
    <xf numFmtId="3" fontId="0" fillId="39" borderId="13" xfId="0" applyNumberFormat="1" applyFont="1" applyFill="1" applyBorder="1" applyAlignment="1" applyProtection="1">
      <alignment horizontal="right"/>
      <protection hidden="1"/>
    </xf>
    <xf numFmtId="0" fontId="0" fillId="0" borderId="24" xfId="0" applyNumberFormat="1" applyFont="1" applyBorder="1" applyProtection="1">
      <protection hidden="1"/>
    </xf>
    <xf numFmtId="0" fontId="0" fillId="41" borderId="24" xfId="0" applyNumberFormat="1" applyFont="1" applyFill="1" applyBorder="1" applyAlignment="1" applyProtection="1">
      <alignment horizontal="right"/>
      <protection hidden="1"/>
    </xf>
    <xf numFmtId="0" fontId="20" fillId="40" borderId="16" xfId="0" applyFont="1" applyFill="1" applyBorder="1" applyProtection="1">
      <protection hidden="1"/>
    </xf>
    <xf numFmtId="0" fontId="19" fillId="40" borderId="18" xfId="0" applyFont="1" applyFill="1" applyBorder="1" applyAlignment="1" applyProtection="1">
      <alignment horizontal="center"/>
      <protection hidden="1"/>
    </xf>
    <xf numFmtId="0" fontId="19" fillId="40" borderId="14" xfId="0" applyFont="1" applyFill="1" applyBorder="1" applyAlignment="1" applyProtection="1">
      <alignment horizontal="center"/>
      <protection hidden="1"/>
    </xf>
    <xf numFmtId="0" fontId="19" fillId="40" borderId="1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6" fillId="40" borderId="21" xfId="0" applyFont="1" applyFill="1" applyBorder="1" applyAlignment="1" applyProtection="1">
      <protection hidden="1"/>
    </xf>
    <xf numFmtId="3" fontId="32" fillId="40" borderId="23" xfId="0" applyNumberFormat="1" applyFont="1" applyFill="1" applyBorder="1" applyAlignment="1" applyProtection="1">
      <alignment horizontal="center" wrapText="1"/>
      <protection hidden="1"/>
    </xf>
    <xf numFmtId="0" fontId="16" fillId="38" borderId="14" xfId="0" applyFont="1" applyFill="1" applyBorder="1" applyAlignment="1" applyProtection="1">
      <alignment horizontal="center" wrapText="1"/>
      <protection hidden="1"/>
    </xf>
    <xf numFmtId="0" fontId="16" fillId="38" borderId="13" xfId="0" applyFont="1" applyFill="1" applyBorder="1" applyAlignment="1" applyProtection="1">
      <alignment horizontal="center" wrapText="1"/>
      <protection hidden="1"/>
    </xf>
    <xf numFmtId="3" fontId="0" fillId="0" borderId="12" xfId="0" applyNumberFormat="1" applyFont="1" applyFill="1" applyBorder="1" applyAlignment="1" applyProtection="1">
      <protection hidden="1"/>
    </xf>
    <xf numFmtId="164" fontId="33" fillId="0" borderId="13" xfId="0" applyNumberFormat="1" applyFont="1" applyFill="1" applyBorder="1" applyAlignment="1" applyProtection="1">
      <protection hidden="1"/>
    </xf>
    <xf numFmtId="165" fontId="30" fillId="0" borderId="13" xfId="0" applyNumberFormat="1" applyFont="1" applyFill="1" applyBorder="1" applyAlignment="1" applyProtection="1">
      <protection hidden="1"/>
    </xf>
    <xf numFmtId="3" fontId="16" fillId="38" borderId="12" xfId="0" applyNumberFormat="1" applyFont="1" applyFill="1" applyBorder="1" applyAlignment="1" applyProtection="1">
      <protection hidden="1"/>
    </xf>
    <xf numFmtId="166" fontId="16" fillId="40" borderId="10" xfId="0" applyNumberFormat="1" applyFont="1" applyFill="1" applyBorder="1" applyAlignment="1" applyProtection="1">
      <protection hidden="1"/>
    </xf>
    <xf numFmtId="164" fontId="16" fillId="40" borderId="13" xfId="0" applyNumberFormat="1" applyFont="1" applyFill="1" applyBorder="1" applyAlignment="1" applyProtection="1">
      <protection hidden="1"/>
    </xf>
    <xf numFmtId="165" fontId="16" fillId="40" borderId="13" xfId="0" applyNumberFormat="1" applyFont="1" applyFill="1" applyBorder="1" applyAlignment="1" applyProtection="1">
      <protection hidden="1"/>
    </xf>
    <xf numFmtId="0" fontId="16" fillId="40" borderId="10" xfId="0" applyFont="1" applyFill="1" applyBorder="1" applyAlignment="1" applyProtection="1">
      <alignment horizontal="right"/>
      <protection hidden="1"/>
    </xf>
    <xf numFmtId="0" fontId="0" fillId="33" borderId="12" xfId="0" applyFont="1" applyFill="1" applyBorder="1" applyAlignment="1" applyProtection="1">
      <alignment horizontal="right"/>
      <protection hidden="1"/>
    </xf>
    <xf numFmtId="3" fontId="16" fillId="40" borderId="10" xfId="0" applyNumberFormat="1" applyFont="1" applyFill="1" applyBorder="1" applyAlignment="1" applyProtection="1">
      <protection hidden="1"/>
    </xf>
    <xf numFmtId="0" fontId="36" fillId="41" borderId="13" xfId="0" applyFont="1" applyFill="1" applyBorder="1" applyAlignment="1" applyProtection="1">
      <alignment horizontal="right"/>
      <protection hidden="1"/>
    </xf>
    <xf numFmtId="0" fontId="0" fillId="41" borderId="13" xfId="0" applyFont="1" applyFill="1" applyBorder="1" applyProtection="1">
      <protection hidden="1"/>
    </xf>
    <xf numFmtId="3" fontId="16" fillId="41" borderId="13" xfId="0" applyNumberFormat="1" applyFont="1" applyFill="1" applyBorder="1" applyAlignment="1" applyProtection="1">
      <protection hidden="1"/>
    </xf>
    <xf numFmtId="0" fontId="16" fillId="40" borderId="12" xfId="0" applyFont="1" applyFill="1" applyBorder="1" applyAlignment="1" applyProtection="1">
      <protection hidden="1"/>
    </xf>
    <xf numFmtId="0" fontId="36" fillId="41" borderId="14" xfId="0" applyFont="1" applyFill="1" applyBorder="1" applyProtection="1">
      <protection hidden="1"/>
    </xf>
    <xf numFmtId="0" fontId="33" fillId="41" borderId="14" xfId="0" applyFont="1" applyFill="1" applyBorder="1" applyProtection="1">
      <protection hidden="1"/>
    </xf>
    <xf numFmtId="3" fontId="33" fillId="41" borderId="14" xfId="0" applyNumberFormat="1" applyFont="1" applyFill="1" applyBorder="1" applyProtection="1">
      <protection hidden="1"/>
    </xf>
    <xf numFmtId="3" fontId="32" fillId="41" borderId="14" xfId="0" applyNumberFormat="1" applyFont="1" applyFill="1" applyBorder="1" applyAlignment="1" applyProtection="1">
      <alignment horizontal="center" wrapText="1"/>
      <protection hidden="1"/>
    </xf>
    <xf numFmtId="167" fontId="36" fillId="41" borderId="14" xfId="0" applyNumberFormat="1" applyFont="1" applyFill="1" applyBorder="1" applyAlignment="1" applyProtection="1">
      <alignment horizontal="center" wrapText="1"/>
      <protection hidden="1"/>
    </xf>
    <xf numFmtId="3" fontId="32" fillId="41" borderId="10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4" borderId="12" xfId="0" applyFont="1" applyFill="1" applyBorder="1" applyAlignment="1" applyProtection="1">
      <alignment horizontal="center"/>
      <protection hidden="1"/>
    </xf>
    <xf numFmtId="0" fontId="32" fillId="41" borderId="14" xfId="0" applyFont="1" applyFill="1" applyBorder="1" applyAlignment="1" applyProtection="1">
      <alignment horizontal="center" wrapText="1"/>
      <protection hidden="1"/>
    </xf>
    <xf numFmtId="0" fontId="32" fillId="41" borderId="15" xfId="0" applyFont="1" applyFill="1" applyBorder="1" applyProtection="1">
      <protection hidden="1"/>
    </xf>
    <xf numFmtId="3" fontId="32" fillId="41" borderId="21" xfId="0" applyNumberFormat="1" applyFont="1" applyFill="1" applyBorder="1" applyProtection="1"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0" fillId="0" borderId="15" xfId="0" applyFont="1" applyBorder="1" applyAlignment="1" applyProtection="1">
      <alignment horizontal="center" wrapText="1"/>
      <protection hidden="1"/>
    </xf>
    <xf numFmtId="3" fontId="32" fillId="41" borderId="13" xfId="0" applyNumberFormat="1" applyFont="1" applyFill="1" applyBorder="1" applyAlignment="1" applyProtection="1">
      <alignment horizontal="center" wrapText="1"/>
      <protection hidden="1"/>
    </xf>
    <xf numFmtId="0" fontId="0" fillId="34" borderId="15" xfId="0" applyFont="1" applyFill="1" applyBorder="1" applyAlignment="1" applyProtection="1">
      <protection hidden="1"/>
    </xf>
    <xf numFmtId="0" fontId="37" fillId="41" borderId="10" xfId="0" applyFont="1" applyFill="1" applyBorder="1" applyAlignment="1" applyProtection="1">
      <alignment horizontal="right"/>
      <protection hidden="1"/>
    </xf>
    <xf numFmtId="3" fontId="37" fillId="41" borderId="13" xfId="0" applyNumberFormat="1" applyFont="1" applyFill="1" applyBorder="1" applyProtection="1">
      <protection hidden="1"/>
    </xf>
    <xf numFmtId="0" fontId="32" fillId="38" borderId="12" xfId="0" applyFont="1" applyFill="1" applyBorder="1" applyProtection="1">
      <protection hidden="1"/>
    </xf>
    <xf numFmtId="3" fontId="32" fillId="38" borderId="14" xfId="0" applyNumberFormat="1" applyFont="1" applyFill="1" applyBorder="1" applyAlignment="1" applyProtection="1">
      <alignment horizontal="center" wrapText="1"/>
      <protection hidden="1"/>
    </xf>
    <xf numFmtId="164" fontId="32" fillId="38" borderId="14" xfId="0" applyNumberFormat="1" applyFont="1" applyFill="1" applyBorder="1" applyAlignment="1" applyProtection="1">
      <alignment horizontal="center" wrapText="1"/>
      <protection hidden="1"/>
    </xf>
    <xf numFmtId="167" fontId="36" fillId="38" borderId="14" xfId="0" applyNumberFormat="1" applyFont="1" applyFill="1" applyBorder="1" applyAlignment="1" applyProtection="1">
      <alignment horizontal="center" wrapText="1"/>
      <protection hidden="1"/>
    </xf>
    <xf numFmtId="0" fontId="32" fillId="38" borderId="14" xfId="0" applyFont="1" applyFill="1" applyBorder="1" applyAlignment="1" applyProtection="1">
      <alignment horizontal="center" wrapText="1"/>
      <protection hidden="1"/>
    </xf>
    <xf numFmtId="3" fontId="32" fillId="40" borderId="21" xfId="0" applyNumberFormat="1" applyFont="1" applyFill="1" applyBorder="1" applyProtection="1">
      <protection hidden="1"/>
    </xf>
    <xf numFmtId="0" fontId="0" fillId="38" borderId="15" xfId="0" applyFont="1" applyFill="1" applyBorder="1" applyAlignment="1" applyProtection="1">
      <alignment horizontal="center" wrapText="1"/>
      <protection hidden="1"/>
    </xf>
    <xf numFmtId="164" fontId="0" fillId="38" borderId="15" xfId="0" applyNumberFormat="1" applyFont="1" applyFill="1" applyBorder="1" applyAlignment="1" applyProtection="1">
      <alignment horizontal="center" wrapText="1"/>
      <protection hidden="1"/>
    </xf>
    <xf numFmtId="0" fontId="0" fillId="38" borderId="15" xfId="0" applyFont="1" applyFill="1" applyBorder="1" applyAlignment="1" applyProtection="1">
      <protection hidden="1"/>
    </xf>
    <xf numFmtId="0" fontId="30" fillId="0" borderId="24" xfId="0" applyFont="1" applyFill="1" applyBorder="1" applyAlignment="1" applyProtection="1">
      <alignment horizontal="center"/>
      <protection hidden="1"/>
    </xf>
    <xf numFmtId="164" fontId="0" fillId="41" borderId="13" xfId="0" applyNumberFormat="1" applyFont="1" applyFill="1" applyBorder="1" applyAlignment="1" applyProtection="1">
      <alignment horizontal="right"/>
      <protection hidden="1"/>
    </xf>
    <xf numFmtId="3" fontId="32" fillId="38" borderId="25" xfId="0" applyNumberFormat="1" applyFont="1" applyFill="1" applyBorder="1" applyAlignment="1" applyProtection="1">
      <alignment horizontal="center" wrapText="1"/>
      <protection hidden="1"/>
    </xf>
    <xf numFmtId="3" fontId="32" fillId="38" borderId="15" xfId="0" applyNumberFormat="1" applyFont="1" applyFill="1" applyBorder="1" applyAlignment="1" applyProtection="1">
      <alignment horizontal="center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 applyProtection="1">
      <alignment horizontal="right"/>
      <protection hidden="1"/>
    </xf>
    <xf numFmtId="0" fontId="30" fillId="39" borderId="24" xfId="0" applyFont="1" applyFill="1" applyBorder="1" applyAlignment="1" applyProtection="1">
      <alignment horizontal="center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164" fontId="0" fillId="41" borderId="24" xfId="0" applyNumberFormat="1" applyFont="1" applyFill="1" applyBorder="1" applyAlignment="1" applyProtection="1">
      <alignment horizontal="right"/>
      <protection hidden="1"/>
    </xf>
    <xf numFmtId="0" fontId="30" fillId="0" borderId="13" xfId="0" applyFont="1" applyFill="1" applyBorder="1" applyAlignment="1" applyProtection="1">
      <alignment horizontal="right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2" fontId="20" fillId="0" borderId="0" xfId="0" applyNumberFormat="1" applyFont="1" applyFill="1" applyProtection="1">
      <protection hidden="1"/>
    </xf>
    <xf numFmtId="2" fontId="21" fillId="0" borderId="0" xfId="0" applyNumberFormat="1" applyFont="1" applyFill="1" applyBorder="1" applyAlignment="1" applyProtection="1">
      <protection hidden="1"/>
    </xf>
    <xf numFmtId="0" fontId="0" fillId="38" borderId="11" xfId="0" applyFill="1" applyBorder="1" applyAlignment="1" applyProtection="1">
      <alignment horizontal="center" wrapText="1"/>
      <protection hidden="1"/>
    </xf>
    <xf numFmtId="2" fontId="19" fillId="38" borderId="14" xfId="0" applyNumberFormat="1" applyFont="1" applyFill="1" applyBorder="1" applyAlignment="1" applyProtection="1">
      <alignment horizontal="center" wrapText="1"/>
      <protection hidden="1"/>
    </xf>
    <xf numFmtId="2" fontId="27" fillId="0" borderId="13" xfId="0" applyNumberFormat="1" applyFont="1" applyFill="1" applyBorder="1" applyAlignment="1" applyProtection="1">
      <alignment wrapText="1"/>
      <protection hidden="1"/>
    </xf>
    <xf numFmtId="2" fontId="20" fillId="0" borderId="13" xfId="0" applyNumberFormat="1" applyFont="1" applyFill="1" applyBorder="1" applyAlignment="1" applyProtection="1">
      <protection hidden="1"/>
    </xf>
    <xf numFmtId="2" fontId="21" fillId="0" borderId="13" xfId="0" applyNumberFormat="1" applyFont="1" applyFill="1" applyBorder="1" applyAlignment="1" applyProtection="1">
      <protection hidden="1"/>
    </xf>
    <xf numFmtId="2" fontId="19" fillId="40" borderId="13" xfId="0" applyNumberFormat="1" applyFont="1" applyFill="1" applyBorder="1" applyAlignment="1" applyProtection="1">
      <protection hidden="1"/>
    </xf>
    <xf numFmtId="0" fontId="21" fillId="40" borderId="10" xfId="0" applyFont="1" applyFill="1" applyBorder="1" applyAlignment="1" applyProtection="1">
      <alignment horizontal="right"/>
      <protection hidden="1"/>
    </xf>
    <xf numFmtId="0" fontId="0" fillId="33" borderId="11" xfId="0" applyFill="1" applyBorder="1" applyAlignment="1" applyProtection="1">
      <protection hidden="1"/>
    </xf>
    <xf numFmtId="0" fontId="0" fillId="33" borderId="12" xfId="0" applyFill="1" applyBorder="1" applyAlignment="1" applyProtection="1">
      <protection hidden="1"/>
    </xf>
    <xf numFmtId="3" fontId="0" fillId="40" borderId="13" xfId="0" applyNumberFormat="1" applyFill="1" applyBorder="1" applyAlignment="1" applyProtection="1">
      <protection hidden="1"/>
    </xf>
    <xf numFmtId="2" fontId="0" fillId="37" borderId="13" xfId="0" applyNumberFormat="1" applyFill="1" applyBorder="1" applyAlignment="1" applyProtection="1">
      <protection hidden="1"/>
    </xf>
    <xf numFmtId="0" fontId="20" fillId="0" borderId="19" xfId="0" applyFont="1" applyFill="1" applyBorder="1" applyAlignment="1" applyProtection="1">
      <protection hidden="1"/>
    </xf>
    <xf numFmtId="0" fontId="23" fillId="41" borderId="10" xfId="0" applyFont="1" applyFill="1" applyBorder="1" applyProtection="1">
      <protection hidden="1"/>
    </xf>
    <xf numFmtId="0" fontId="23" fillId="41" borderId="11" xfId="0" applyFont="1" applyFill="1" applyBorder="1" applyProtection="1">
      <protection hidden="1"/>
    </xf>
    <xf numFmtId="0" fontId="23" fillId="41" borderId="12" xfId="0" applyFont="1" applyFill="1" applyBorder="1" applyProtection="1">
      <protection hidden="1"/>
    </xf>
    <xf numFmtId="167" fontId="23" fillId="41" borderId="13" xfId="0" applyNumberFormat="1" applyFont="1" applyFill="1" applyBorder="1" applyAlignment="1" applyProtection="1">
      <alignment horizontal="center" wrapText="1"/>
      <protection hidden="1"/>
    </xf>
    <xf numFmtId="167" fontId="23" fillId="34" borderId="13" xfId="0" applyNumberFormat="1" applyFont="1" applyFill="1" applyBorder="1" applyAlignment="1" applyProtection="1">
      <alignment horizontal="center" wrapText="1"/>
      <protection hidden="1"/>
    </xf>
    <xf numFmtId="2" fontId="23" fillId="41" borderId="14" xfId="0" applyNumberFormat="1" applyFont="1" applyFill="1" applyBorder="1" applyAlignment="1" applyProtection="1">
      <alignment horizontal="center" wrapText="1"/>
      <protection hidden="1"/>
    </xf>
    <xf numFmtId="0" fontId="23" fillId="41" borderId="13" xfId="0" applyFont="1" applyFill="1" applyBorder="1" applyProtection="1">
      <protection hidden="1"/>
    </xf>
    <xf numFmtId="3" fontId="23" fillId="41" borderId="13" xfId="0" applyNumberFormat="1" applyFont="1" applyFill="1" applyBorder="1" applyProtection="1">
      <protection hidden="1"/>
    </xf>
    <xf numFmtId="0" fontId="0" fillId="34" borderId="15" xfId="0" applyFill="1" applyBorder="1" applyAlignment="1" applyProtection="1">
      <alignment horizontal="center" wrapText="1"/>
      <protection hidden="1"/>
    </xf>
    <xf numFmtId="3" fontId="26" fillId="41" borderId="13" xfId="0" applyNumberFormat="1" applyFont="1" applyFill="1" applyBorder="1" applyAlignment="1" applyProtection="1">
      <protection hidden="1"/>
    </xf>
    <xf numFmtId="167" fontId="20" fillId="38" borderId="11" xfId="0" applyNumberFormat="1" applyFont="1" applyFill="1" applyBorder="1" applyAlignment="1" applyProtection="1">
      <alignment horizontal="center"/>
      <protection hidden="1"/>
    </xf>
    <xf numFmtId="2" fontId="20" fillId="38" borderId="12" xfId="0" applyNumberFormat="1" applyFont="1" applyFill="1" applyBorder="1" applyAlignment="1" applyProtection="1">
      <alignment horizontal="center"/>
      <protection hidden="1"/>
    </xf>
    <xf numFmtId="0" fontId="23" fillId="40" borderId="21" xfId="0" applyFont="1" applyFill="1" applyBorder="1" applyProtection="1">
      <protection hidden="1"/>
    </xf>
    <xf numFmtId="0" fontId="23" fillId="40" borderId="22" xfId="0" applyFont="1" applyFill="1" applyBorder="1" applyProtection="1">
      <protection hidden="1"/>
    </xf>
    <xf numFmtId="167" fontId="23" fillId="38" borderId="11" xfId="0" applyNumberFormat="1" applyFont="1" applyFill="1" applyBorder="1" applyAlignment="1" applyProtection="1">
      <alignment horizontal="center" wrapText="1"/>
      <protection hidden="1"/>
    </xf>
    <xf numFmtId="167" fontId="23" fillId="38" borderId="12" xfId="0" applyNumberFormat="1" applyFont="1" applyFill="1" applyBorder="1" applyAlignment="1" applyProtection="1">
      <alignment horizontal="center" wrapText="1"/>
      <protection hidden="1"/>
    </xf>
    <xf numFmtId="2" fontId="23" fillId="38" borderId="14" xfId="0" applyNumberFormat="1" applyFont="1" applyFill="1" applyBorder="1" applyAlignment="1" applyProtection="1">
      <alignment horizontal="center" wrapText="1"/>
      <protection hidden="1"/>
    </xf>
    <xf numFmtId="3" fontId="23" fillId="40" borderId="21" xfId="0" applyNumberFormat="1" applyFont="1" applyFill="1" applyBorder="1" applyProtection="1">
      <protection hidden="1"/>
    </xf>
    <xf numFmtId="2" fontId="0" fillId="0" borderId="24" xfId="75" applyNumberFormat="1" applyFont="1" applyBorder="1" applyAlignment="1" applyProtection="1">
      <alignment horizontal="right"/>
      <protection hidden="1"/>
    </xf>
    <xf numFmtId="2" fontId="27" fillId="0" borderId="24" xfId="0" applyNumberFormat="1" applyFont="1" applyFill="1" applyBorder="1" applyAlignment="1" applyProtection="1">
      <alignment horizontal="right"/>
      <protection hidden="1"/>
    </xf>
    <xf numFmtId="2" fontId="0" fillId="0" borderId="24" xfId="0" applyNumberFormat="1" applyFill="1" applyBorder="1" applyAlignment="1" applyProtection="1">
      <alignment horizontal="right"/>
      <protection hidden="1"/>
    </xf>
    <xf numFmtId="49" fontId="0" fillId="0" borderId="12" xfId="0" applyNumberFormat="1" applyBorder="1" applyProtection="1">
      <protection hidden="1"/>
    </xf>
    <xf numFmtId="2" fontId="22" fillId="40" borderId="13" xfId="0" applyNumberFormat="1" applyFont="1" applyFill="1" applyBorder="1" applyProtection="1">
      <protection hidden="1"/>
    </xf>
    <xf numFmtId="0" fontId="0" fillId="0" borderId="13" xfId="0" applyBorder="1" applyProtection="1">
      <protection hidden="1"/>
    </xf>
    <xf numFmtId="2" fontId="0" fillId="39" borderId="24" xfId="0" applyNumberFormat="1" applyFill="1" applyBorder="1" applyAlignment="1" applyProtection="1">
      <alignment horizontal="right"/>
      <protection hidden="1"/>
    </xf>
    <xf numFmtId="0" fontId="26" fillId="0" borderId="0" xfId="0" applyFont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167" fontId="23" fillId="38" borderId="13" xfId="0" applyNumberFormat="1" applyFont="1" applyFill="1" applyBorder="1" applyAlignment="1" applyProtection="1">
      <alignment horizontal="center" wrapText="1"/>
      <protection hidden="1"/>
    </xf>
    <xf numFmtId="167" fontId="23" fillId="38" borderId="24" xfId="0" applyNumberFormat="1" applyFont="1" applyFill="1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wrapText="1"/>
      <protection hidden="1"/>
    </xf>
    <xf numFmtId="0" fontId="20" fillId="38" borderId="13" xfId="0" applyFont="1" applyFill="1" applyBorder="1" applyAlignment="1" applyProtection="1">
      <alignment horizontal="center" wrapText="1"/>
      <protection hidden="1"/>
    </xf>
    <xf numFmtId="165" fontId="20" fillId="0" borderId="13" xfId="0" applyNumberFormat="1" applyFont="1" applyFill="1" applyBorder="1" applyAlignment="1" applyProtection="1">
      <protection hidden="1"/>
    </xf>
    <xf numFmtId="0" fontId="21" fillId="40" borderId="10" xfId="0" applyFont="1" applyFill="1" applyBorder="1" applyAlignment="1" applyProtection="1">
      <alignment horizontal="right"/>
      <protection hidden="1"/>
    </xf>
    <xf numFmtId="0" fontId="0" fillId="40" borderId="13" xfId="0" applyFill="1" applyBorder="1" applyAlignment="1" applyProtection="1">
      <protection hidden="1"/>
    </xf>
    <xf numFmtId="167" fontId="23" fillId="39" borderId="13" xfId="0" applyNumberFormat="1" applyFont="1" applyFill="1" applyBorder="1" applyAlignment="1" applyProtection="1">
      <alignment horizontal="center" wrapText="1"/>
      <protection hidden="1"/>
    </xf>
    <xf numFmtId="167" fontId="23" fillId="39" borderId="24" xfId="0" applyNumberFormat="1" applyFont="1" applyFill="1" applyBorder="1" applyAlignment="1" applyProtection="1">
      <alignment horizontal="center" wrapText="1"/>
      <protection hidden="1"/>
    </xf>
    <xf numFmtId="167" fontId="23" fillId="0" borderId="0" xfId="0" applyNumberFormat="1" applyFont="1" applyFill="1" applyBorder="1" applyAlignment="1" applyProtection="1">
      <alignment horizontal="center" wrapText="1"/>
      <protection hidden="1"/>
    </xf>
    <xf numFmtId="0" fontId="20" fillId="39" borderId="13" xfId="0" applyFont="1" applyFill="1" applyBorder="1" applyAlignment="1" applyProtection="1">
      <alignment horizontal="center" wrapText="1"/>
      <protection hidden="1"/>
    </xf>
    <xf numFmtId="167" fontId="23" fillId="39" borderId="13" xfId="0" applyNumberFormat="1" applyFont="1" applyFill="1" applyBorder="1" applyAlignment="1" applyProtection="1">
      <alignment horizontal="center" wrapText="1"/>
      <protection hidden="1"/>
    </xf>
    <xf numFmtId="0" fontId="19" fillId="39" borderId="13" xfId="0" applyFont="1" applyFill="1" applyBorder="1" applyAlignment="1" applyProtection="1">
      <alignment horizontal="center" wrapText="1"/>
      <protection hidden="1"/>
    </xf>
    <xf numFmtId="1" fontId="26" fillId="41" borderId="10" xfId="0" applyNumberFormat="1" applyFont="1" applyFill="1" applyBorder="1" applyAlignment="1" applyProtection="1">
      <alignment horizontal="right"/>
      <protection hidden="1"/>
    </xf>
    <xf numFmtId="1" fontId="26" fillId="41" borderId="13" xfId="0" applyNumberFormat="1" applyFont="1" applyFill="1" applyBorder="1" applyAlignment="1" applyProtection="1">
      <protection hidden="1"/>
    </xf>
    <xf numFmtId="167" fontId="20" fillId="0" borderId="19" xfId="0" applyNumberFormat="1" applyFont="1" applyFill="1" applyBorder="1" applyAlignment="1" applyProtection="1">
      <alignment horizontal="center"/>
      <protection hidden="1"/>
    </xf>
    <xf numFmtId="0" fontId="23" fillId="40" borderId="14" xfId="0" applyFont="1" applyFill="1" applyBorder="1" applyProtection="1">
      <protection hidden="1"/>
    </xf>
    <xf numFmtId="1" fontId="26" fillId="40" borderId="10" xfId="0" applyNumberFormat="1" applyFont="1" applyFill="1" applyBorder="1" applyAlignment="1" applyProtection="1">
      <alignment horizontal="right"/>
      <protection hidden="1"/>
    </xf>
    <xf numFmtId="0" fontId="27" fillId="39" borderId="24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wrapText="1"/>
      <protection hidden="1"/>
    </xf>
    <xf numFmtId="0" fontId="0" fillId="33" borderId="11" xfId="0" applyFill="1" applyBorder="1" applyAlignment="1" applyProtection="1">
      <alignment horizontal="right"/>
      <protection hidden="1"/>
    </xf>
    <xf numFmtId="0" fontId="0" fillId="33" borderId="12" xfId="0" applyFill="1" applyBorder="1" applyAlignment="1" applyProtection="1">
      <alignment horizontal="right"/>
      <protection hidden="1"/>
    </xf>
    <xf numFmtId="0" fontId="23" fillId="38" borderId="10" xfId="0" applyFont="1" applyFill="1" applyBorder="1" applyProtection="1">
      <protection hidden="1"/>
    </xf>
    <xf numFmtId="16" fontId="0" fillId="0" borderId="0" xfId="0" applyNumberFormat="1" applyProtection="1">
      <protection hidden="1"/>
    </xf>
    <xf numFmtId="0" fontId="0" fillId="0" borderId="0" xfId="0" applyBorder="1" applyAlignment="1" applyProtection="1">
      <protection hidden="1"/>
    </xf>
    <xf numFmtId="3" fontId="20" fillId="0" borderId="0" xfId="0" applyNumberFormat="1" applyFont="1" applyFill="1" applyAlignment="1" applyProtection="1">
      <protection hidden="1"/>
    </xf>
    <xf numFmtId="0" fontId="20" fillId="40" borderId="17" xfId="0" applyFont="1" applyFill="1" applyBorder="1" applyProtection="1">
      <protection hidden="1"/>
    </xf>
    <xf numFmtId="3" fontId="21" fillId="40" borderId="18" xfId="0" applyNumberFormat="1" applyFont="1" applyFill="1" applyBorder="1" applyProtection="1">
      <protection hidden="1"/>
    </xf>
    <xf numFmtId="0" fontId="20" fillId="40" borderId="22" xfId="0" applyFont="1" applyFill="1" applyBorder="1" applyProtection="1">
      <protection hidden="1"/>
    </xf>
    <xf numFmtId="3" fontId="23" fillId="40" borderId="23" xfId="0" applyNumberFormat="1" applyFont="1" applyFill="1" applyBorder="1" applyProtection="1">
      <protection hidden="1"/>
    </xf>
    <xf numFmtId="3" fontId="23" fillId="38" borderId="21" xfId="0" applyNumberFormat="1" applyFont="1" applyFill="1" applyBorder="1" applyAlignment="1" applyProtection="1">
      <alignment horizontal="center" wrapText="1"/>
      <protection hidden="1"/>
    </xf>
    <xf numFmtId="0" fontId="20" fillId="0" borderId="11" xfId="0" applyFont="1" applyBorder="1" applyProtection="1">
      <protection hidden="1"/>
    </xf>
    <xf numFmtId="167" fontId="20" fillId="0" borderId="12" xfId="0" applyNumberFormat="1" applyFont="1" applyFill="1" applyBorder="1" applyAlignment="1" applyProtection="1">
      <protection hidden="1"/>
    </xf>
    <xf numFmtId="165" fontId="27" fillId="0" borderId="13" xfId="0" applyNumberFormat="1" applyFont="1" applyFill="1" applyBorder="1" applyAlignment="1" applyProtection="1">
      <alignment wrapText="1"/>
      <protection hidden="1"/>
    </xf>
    <xf numFmtId="0" fontId="20" fillId="38" borderId="11" xfId="0" applyFont="1" applyFill="1" applyBorder="1" applyProtection="1">
      <protection hidden="1"/>
    </xf>
    <xf numFmtId="167" fontId="19" fillId="38" borderId="12" xfId="0" applyNumberFormat="1" applyFont="1" applyFill="1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3" fontId="23" fillId="41" borderId="21" xfId="0" applyNumberFormat="1" applyFont="1" applyFill="1" applyBorder="1" applyProtection="1">
      <protection hidden="1"/>
    </xf>
    <xf numFmtId="3" fontId="23" fillId="41" borderId="21" xfId="0" applyNumberFormat="1" applyFont="1" applyFill="1" applyBorder="1" applyAlignment="1" applyProtection="1">
      <alignment horizontal="center" wrapText="1"/>
      <protection hidden="1"/>
    </xf>
    <xf numFmtId="3" fontId="26" fillId="41" borderId="13" xfId="0" applyNumberFormat="1" applyFont="1" applyFill="1" applyBorder="1" applyProtection="1">
      <protection hidden="1"/>
    </xf>
  </cellXfs>
  <cellStyles count="802">
    <cellStyle name="20% - Accent1" xfId="19" builtinId="30" customBuiltin="1"/>
    <cellStyle name="20% - Accent1 2" xfId="100" xr:uid="{00000000-0005-0000-0000-000001000000}"/>
    <cellStyle name="20% - Accent1 2 2" xfId="147" xr:uid="{00000000-0005-0000-0000-000002000000}"/>
    <cellStyle name="20% - Accent1 2 2 2" xfId="277" xr:uid="{00000000-0005-0000-0000-000003000000}"/>
    <cellStyle name="20% - Accent1 2 2 2 2" xfId="399" xr:uid="{00000000-0005-0000-0000-000004000000}"/>
    <cellStyle name="20% - Accent1 2 2 2 2 2" xfId="643" xr:uid="{00000000-0005-0000-0000-000005000000}"/>
    <cellStyle name="20% - Accent1 2 2 2 3" xfId="521" xr:uid="{00000000-0005-0000-0000-000006000000}"/>
    <cellStyle name="20% - Accent1 2 2 3" xfId="331" xr:uid="{00000000-0005-0000-0000-000007000000}"/>
    <cellStyle name="20% - Accent1 2 2 3 2" xfId="575" xr:uid="{00000000-0005-0000-0000-000008000000}"/>
    <cellStyle name="20% - Accent1 2 2 4" xfId="453" xr:uid="{00000000-0005-0000-0000-000009000000}"/>
    <cellStyle name="20% - Accent1 2 3" xfId="250" xr:uid="{00000000-0005-0000-0000-00000A000000}"/>
    <cellStyle name="20% - Accent1 2 3 2" xfId="372" xr:uid="{00000000-0005-0000-0000-00000B000000}"/>
    <cellStyle name="20% - Accent1 2 3 2 2" xfId="616" xr:uid="{00000000-0005-0000-0000-00000C000000}"/>
    <cellStyle name="20% - Accent1 2 3 3" xfId="494" xr:uid="{00000000-0005-0000-0000-00000D000000}"/>
    <cellStyle name="20% - Accent1 2 4" xfId="304" xr:uid="{00000000-0005-0000-0000-00000E000000}"/>
    <cellStyle name="20% - Accent1 2 4 2" xfId="548" xr:uid="{00000000-0005-0000-0000-00000F000000}"/>
    <cellStyle name="20% - Accent1 2 5" xfId="426" xr:uid="{00000000-0005-0000-0000-000010000000}"/>
    <cellStyle name="20% - Accent1 2 6" xfId="737" xr:uid="{00000000-0005-0000-0000-000011000000}"/>
    <cellStyle name="20% - Accent1 3" xfId="118" xr:uid="{00000000-0005-0000-0000-000012000000}"/>
    <cellStyle name="20% - Accent1 3 2" xfId="264" xr:uid="{00000000-0005-0000-0000-000013000000}"/>
    <cellStyle name="20% - Accent1 3 2 2" xfId="386" xr:uid="{00000000-0005-0000-0000-000014000000}"/>
    <cellStyle name="20% - Accent1 3 2 2 2" xfId="630" xr:uid="{00000000-0005-0000-0000-000015000000}"/>
    <cellStyle name="20% - Accent1 3 2 3" xfId="508" xr:uid="{00000000-0005-0000-0000-000016000000}"/>
    <cellStyle name="20% - Accent1 3 3" xfId="318" xr:uid="{00000000-0005-0000-0000-000017000000}"/>
    <cellStyle name="20% - Accent1 3 3 2" xfId="562" xr:uid="{00000000-0005-0000-0000-000018000000}"/>
    <cellStyle name="20% - Accent1 3 4" xfId="440" xr:uid="{00000000-0005-0000-0000-000019000000}"/>
    <cellStyle name="20% - Accent1 4" xfId="167" xr:uid="{00000000-0005-0000-0000-00001A000000}"/>
    <cellStyle name="20% - Accent1 4 2" xfId="345" xr:uid="{00000000-0005-0000-0000-00001B000000}"/>
    <cellStyle name="20% - Accent1 4 2 2" xfId="589" xr:uid="{00000000-0005-0000-0000-00001C000000}"/>
    <cellStyle name="20% - Accent1 4 3" xfId="467" xr:uid="{00000000-0005-0000-0000-00001D000000}"/>
    <cellStyle name="20% - Accent1 5" xfId="218" xr:uid="{00000000-0005-0000-0000-00001E000000}"/>
    <cellStyle name="20% - Accent1 5 2" xfId="359" xr:uid="{00000000-0005-0000-0000-00001F000000}"/>
    <cellStyle name="20% - Accent1 5 2 2" xfId="603" xr:uid="{00000000-0005-0000-0000-000020000000}"/>
    <cellStyle name="20% - Accent1 5 3" xfId="481" xr:uid="{00000000-0005-0000-0000-000021000000}"/>
    <cellStyle name="20% - Accent1 6" xfId="291" xr:uid="{00000000-0005-0000-0000-000022000000}"/>
    <cellStyle name="20% - Accent1 6 2" xfId="535" xr:uid="{00000000-0005-0000-0000-000023000000}"/>
    <cellStyle name="20% - Accent1 7" xfId="413" xr:uid="{00000000-0005-0000-0000-000024000000}"/>
    <cellStyle name="20% - Accent2" xfId="23" builtinId="34" customBuiltin="1"/>
    <cellStyle name="20% - Accent2 2" xfId="102" xr:uid="{00000000-0005-0000-0000-000026000000}"/>
    <cellStyle name="20% - Accent2 2 2" xfId="149" xr:uid="{00000000-0005-0000-0000-000027000000}"/>
    <cellStyle name="20% - Accent2 2 2 2" xfId="279" xr:uid="{00000000-0005-0000-0000-000028000000}"/>
    <cellStyle name="20% - Accent2 2 2 2 2" xfId="401" xr:uid="{00000000-0005-0000-0000-000029000000}"/>
    <cellStyle name="20% - Accent2 2 2 2 2 2" xfId="645" xr:uid="{00000000-0005-0000-0000-00002A000000}"/>
    <cellStyle name="20% - Accent2 2 2 2 3" xfId="523" xr:uid="{00000000-0005-0000-0000-00002B000000}"/>
    <cellStyle name="20% - Accent2 2 2 3" xfId="333" xr:uid="{00000000-0005-0000-0000-00002C000000}"/>
    <cellStyle name="20% - Accent2 2 2 3 2" xfId="577" xr:uid="{00000000-0005-0000-0000-00002D000000}"/>
    <cellStyle name="20% - Accent2 2 2 4" xfId="455" xr:uid="{00000000-0005-0000-0000-00002E000000}"/>
    <cellStyle name="20% - Accent2 2 3" xfId="252" xr:uid="{00000000-0005-0000-0000-00002F000000}"/>
    <cellStyle name="20% - Accent2 2 3 2" xfId="374" xr:uid="{00000000-0005-0000-0000-000030000000}"/>
    <cellStyle name="20% - Accent2 2 3 2 2" xfId="618" xr:uid="{00000000-0005-0000-0000-000031000000}"/>
    <cellStyle name="20% - Accent2 2 3 3" xfId="496" xr:uid="{00000000-0005-0000-0000-000032000000}"/>
    <cellStyle name="20% - Accent2 2 4" xfId="306" xr:uid="{00000000-0005-0000-0000-000033000000}"/>
    <cellStyle name="20% - Accent2 2 4 2" xfId="550" xr:uid="{00000000-0005-0000-0000-000034000000}"/>
    <cellStyle name="20% - Accent2 2 5" xfId="428" xr:uid="{00000000-0005-0000-0000-000035000000}"/>
    <cellStyle name="20% - Accent2 2 6" xfId="739" xr:uid="{00000000-0005-0000-0000-000036000000}"/>
    <cellStyle name="20% - Accent2 3" xfId="120" xr:uid="{00000000-0005-0000-0000-000037000000}"/>
    <cellStyle name="20% - Accent2 3 2" xfId="266" xr:uid="{00000000-0005-0000-0000-000038000000}"/>
    <cellStyle name="20% - Accent2 3 2 2" xfId="388" xr:uid="{00000000-0005-0000-0000-000039000000}"/>
    <cellStyle name="20% - Accent2 3 2 2 2" xfId="632" xr:uid="{00000000-0005-0000-0000-00003A000000}"/>
    <cellStyle name="20% - Accent2 3 2 3" xfId="510" xr:uid="{00000000-0005-0000-0000-00003B000000}"/>
    <cellStyle name="20% - Accent2 3 3" xfId="320" xr:uid="{00000000-0005-0000-0000-00003C000000}"/>
    <cellStyle name="20% - Accent2 3 3 2" xfId="564" xr:uid="{00000000-0005-0000-0000-00003D000000}"/>
    <cellStyle name="20% - Accent2 3 4" xfId="442" xr:uid="{00000000-0005-0000-0000-00003E000000}"/>
    <cellStyle name="20% - Accent2 4" xfId="169" xr:uid="{00000000-0005-0000-0000-00003F000000}"/>
    <cellStyle name="20% - Accent2 4 2" xfId="347" xr:uid="{00000000-0005-0000-0000-000040000000}"/>
    <cellStyle name="20% - Accent2 4 2 2" xfId="591" xr:uid="{00000000-0005-0000-0000-000041000000}"/>
    <cellStyle name="20% - Accent2 4 3" xfId="469" xr:uid="{00000000-0005-0000-0000-000042000000}"/>
    <cellStyle name="20% - Accent2 5" xfId="220" xr:uid="{00000000-0005-0000-0000-000043000000}"/>
    <cellStyle name="20% - Accent2 5 2" xfId="361" xr:uid="{00000000-0005-0000-0000-000044000000}"/>
    <cellStyle name="20% - Accent2 5 2 2" xfId="605" xr:uid="{00000000-0005-0000-0000-000045000000}"/>
    <cellStyle name="20% - Accent2 5 3" xfId="483" xr:uid="{00000000-0005-0000-0000-000046000000}"/>
    <cellStyle name="20% - Accent2 6" xfId="293" xr:uid="{00000000-0005-0000-0000-000047000000}"/>
    <cellStyle name="20% - Accent2 6 2" xfId="537" xr:uid="{00000000-0005-0000-0000-000048000000}"/>
    <cellStyle name="20% - Accent2 7" xfId="415" xr:uid="{00000000-0005-0000-0000-000049000000}"/>
    <cellStyle name="20% - Accent3" xfId="27" builtinId="38" customBuiltin="1"/>
    <cellStyle name="20% - Accent3 2" xfId="104" xr:uid="{00000000-0005-0000-0000-00004B000000}"/>
    <cellStyle name="20% - Accent3 2 2" xfId="151" xr:uid="{00000000-0005-0000-0000-00004C000000}"/>
    <cellStyle name="20% - Accent3 2 2 2" xfId="281" xr:uid="{00000000-0005-0000-0000-00004D000000}"/>
    <cellStyle name="20% - Accent3 2 2 2 2" xfId="403" xr:uid="{00000000-0005-0000-0000-00004E000000}"/>
    <cellStyle name="20% - Accent3 2 2 2 2 2" xfId="647" xr:uid="{00000000-0005-0000-0000-00004F000000}"/>
    <cellStyle name="20% - Accent3 2 2 2 3" xfId="525" xr:uid="{00000000-0005-0000-0000-000050000000}"/>
    <cellStyle name="20% - Accent3 2 2 3" xfId="335" xr:uid="{00000000-0005-0000-0000-000051000000}"/>
    <cellStyle name="20% - Accent3 2 2 3 2" xfId="579" xr:uid="{00000000-0005-0000-0000-000052000000}"/>
    <cellStyle name="20% - Accent3 2 2 4" xfId="457" xr:uid="{00000000-0005-0000-0000-000053000000}"/>
    <cellStyle name="20% - Accent3 2 3" xfId="254" xr:uid="{00000000-0005-0000-0000-000054000000}"/>
    <cellStyle name="20% - Accent3 2 3 2" xfId="376" xr:uid="{00000000-0005-0000-0000-000055000000}"/>
    <cellStyle name="20% - Accent3 2 3 2 2" xfId="620" xr:uid="{00000000-0005-0000-0000-000056000000}"/>
    <cellStyle name="20% - Accent3 2 3 3" xfId="498" xr:uid="{00000000-0005-0000-0000-000057000000}"/>
    <cellStyle name="20% - Accent3 2 4" xfId="308" xr:uid="{00000000-0005-0000-0000-000058000000}"/>
    <cellStyle name="20% - Accent3 2 4 2" xfId="552" xr:uid="{00000000-0005-0000-0000-000059000000}"/>
    <cellStyle name="20% - Accent3 2 5" xfId="430" xr:uid="{00000000-0005-0000-0000-00005A000000}"/>
    <cellStyle name="20% - Accent3 2 6" xfId="741" xr:uid="{00000000-0005-0000-0000-00005B000000}"/>
    <cellStyle name="20% - Accent3 3" xfId="122" xr:uid="{00000000-0005-0000-0000-00005C000000}"/>
    <cellStyle name="20% - Accent3 3 2" xfId="268" xr:uid="{00000000-0005-0000-0000-00005D000000}"/>
    <cellStyle name="20% - Accent3 3 2 2" xfId="390" xr:uid="{00000000-0005-0000-0000-00005E000000}"/>
    <cellStyle name="20% - Accent3 3 2 2 2" xfId="634" xr:uid="{00000000-0005-0000-0000-00005F000000}"/>
    <cellStyle name="20% - Accent3 3 2 3" xfId="512" xr:uid="{00000000-0005-0000-0000-000060000000}"/>
    <cellStyle name="20% - Accent3 3 3" xfId="322" xr:uid="{00000000-0005-0000-0000-000061000000}"/>
    <cellStyle name="20% - Accent3 3 3 2" xfId="566" xr:uid="{00000000-0005-0000-0000-000062000000}"/>
    <cellStyle name="20% - Accent3 3 4" xfId="444" xr:uid="{00000000-0005-0000-0000-000063000000}"/>
    <cellStyle name="20% - Accent3 4" xfId="171" xr:uid="{00000000-0005-0000-0000-000064000000}"/>
    <cellStyle name="20% - Accent3 4 2" xfId="349" xr:uid="{00000000-0005-0000-0000-000065000000}"/>
    <cellStyle name="20% - Accent3 4 2 2" xfId="593" xr:uid="{00000000-0005-0000-0000-000066000000}"/>
    <cellStyle name="20% - Accent3 4 3" xfId="471" xr:uid="{00000000-0005-0000-0000-000067000000}"/>
    <cellStyle name="20% - Accent3 5" xfId="222" xr:uid="{00000000-0005-0000-0000-000068000000}"/>
    <cellStyle name="20% - Accent3 5 2" xfId="363" xr:uid="{00000000-0005-0000-0000-000069000000}"/>
    <cellStyle name="20% - Accent3 5 2 2" xfId="607" xr:uid="{00000000-0005-0000-0000-00006A000000}"/>
    <cellStyle name="20% - Accent3 5 3" xfId="485" xr:uid="{00000000-0005-0000-0000-00006B000000}"/>
    <cellStyle name="20% - Accent3 6" xfId="295" xr:uid="{00000000-0005-0000-0000-00006C000000}"/>
    <cellStyle name="20% - Accent3 6 2" xfId="539" xr:uid="{00000000-0005-0000-0000-00006D000000}"/>
    <cellStyle name="20% - Accent3 7" xfId="417" xr:uid="{00000000-0005-0000-0000-00006E000000}"/>
    <cellStyle name="20% - Accent4" xfId="31" builtinId="42" customBuiltin="1"/>
    <cellStyle name="20% - Accent4 2" xfId="106" xr:uid="{00000000-0005-0000-0000-000070000000}"/>
    <cellStyle name="20% - Accent4 2 2" xfId="153" xr:uid="{00000000-0005-0000-0000-000071000000}"/>
    <cellStyle name="20% - Accent4 2 2 2" xfId="283" xr:uid="{00000000-0005-0000-0000-000072000000}"/>
    <cellStyle name="20% - Accent4 2 2 2 2" xfId="405" xr:uid="{00000000-0005-0000-0000-000073000000}"/>
    <cellStyle name="20% - Accent4 2 2 2 2 2" xfId="649" xr:uid="{00000000-0005-0000-0000-000074000000}"/>
    <cellStyle name="20% - Accent4 2 2 2 3" xfId="527" xr:uid="{00000000-0005-0000-0000-000075000000}"/>
    <cellStyle name="20% - Accent4 2 2 3" xfId="337" xr:uid="{00000000-0005-0000-0000-000076000000}"/>
    <cellStyle name="20% - Accent4 2 2 3 2" xfId="581" xr:uid="{00000000-0005-0000-0000-000077000000}"/>
    <cellStyle name="20% - Accent4 2 2 4" xfId="459" xr:uid="{00000000-0005-0000-0000-000078000000}"/>
    <cellStyle name="20% - Accent4 2 3" xfId="256" xr:uid="{00000000-0005-0000-0000-000079000000}"/>
    <cellStyle name="20% - Accent4 2 3 2" xfId="378" xr:uid="{00000000-0005-0000-0000-00007A000000}"/>
    <cellStyle name="20% - Accent4 2 3 2 2" xfId="622" xr:uid="{00000000-0005-0000-0000-00007B000000}"/>
    <cellStyle name="20% - Accent4 2 3 3" xfId="500" xr:uid="{00000000-0005-0000-0000-00007C000000}"/>
    <cellStyle name="20% - Accent4 2 4" xfId="310" xr:uid="{00000000-0005-0000-0000-00007D000000}"/>
    <cellStyle name="20% - Accent4 2 4 2" xfId="554" xr:uid="{00000000-0005-0000-0000-00007E000000}"/>
    <cellStyle name="20% - Accent4 2 5" xfId="432" xr:uid="{00000000-0005-0000-0000-00007F000000}"/>
    <cellStyle name="20% - Accent4 2 6" xfId="743" xr:uid="{00000000-0005-0000-0000-000080000000}"/>
    <cellStyle name="20% - Accent4 3" xfId="124" xr:uid="{00000000-0005-0000-0000-000081000000}"/>
    <cellStyle name="20% - Accent4 3 2" xfId="270" xr:uid="{00000000-0005-0000-0000-000082000000}"/>
    <cellStyle name="20% - Accent4 3 2 2" xfId="392" xr:uid="{00000000-0005-0000-0000-000083000000}"/>
    <cellStyle name="20% - Accent4 3 2 2 2" xfId="636" xr:uid="{00000000-0005-0000-0000-000084000000}"/>
    <cellStyle name="20% - Accent4 3 2 3" xfId="514" xr:uid="{00000000-0005-0000-0000-000085000000}"/>
    <cellStyle name="20% - Accent4 3 3" xfId="324" xr:uid="{00000000-0005-0000-0000-000086000000}"/>
    <cellStyle name="20% - Accent4 3 3 2" xfId="568" xr:uid="{00000000-0005-0000-0000-000087000000}"/>
    <cellStyle name="20% - Accent4 3 4" xfId="446" xr:uid="{00000000-0005-0000-0000-000088000000}"/>
    <cellStyle name="20% - Accent4 4" xfId="173" xr:uid="{00000000-0005-0000-0000-000089000000}"/>
    <cellStyle name="20% - Accent4 4 2" xfId="351" xr:uid="{00000000-0005-0000-0000-00008A000000}"/>
    <cellStyle name="20% - Accent4 4 2 2" xfId="595" xr:uid="{00000000-0005-0000-0000-00008B000000}"/>
    <cellStyle name="20% - Accent4 4 3" xfId="473" xr:uid="{00000000-0005-0000-0000-00008C000000}"/>
    <cellStyle name="20% - Accent4 5" xfId="224" xr:uid="{00000000-0005-0000-0000-00008D000000}"/>
    <cellStyle name="20% - Accent4 5 2" xfId="365" xr:uid="{00000000-0005-0000-0000-00008E000000}"/>
    <cellStyle name="20% - Accent4 5 2 2" xfId="609" xr:uid="{00000000-0005-0000-0000-00008F000000}"/>
    <cellStyle name="20% - Accent4 5 3" xfId="487" xr:uid="{00000000-0005-0000-0000-000090000000}"/>
    <cellStyle name="20% - Accent4 6" xfId="297" xr:uid="{00000000-0005-0000-0000-000091000000}"/>
    <cellStyle name="20% - Accent4 6 2" xfId="541" xr:uid="{00000000-0005-0000-0000-000092000000}"/>
    <cellStyle name="20% - Accent4 7" xfId="419" xr:uid="{00000000-0005-0000-0000-000093000000}"/>
    <cellStyle name="20% - Accent5" xfId="35" builtinId="46" customBuiltin="1"/>
    <cellStyle name="20% - Accent5 2" xfId="108" xr:uid="{00000000-0005-0000-0000-000095000000}"/>
    <cellStyle name="20% - Accent5 2 2" xfId="155" xr:uid="{00000000-0005-0000-0000-000096000000}"/>
    <cellStyle name="20% - Accent5 2 2 2" xfId="285" xr:uid="{00000000-0005-0000-0000-000097000000}"/>
    <cellStyle name="20% - Accent5 2 2 2 2" xfId="407" xr:uid="{00000000-0005-0000-0000-000098000000}"/>
    <cellStyle name="20% - Accent5 2 2 2 2 2" xfId="651" xr:uid="{00000000-0005-0000-0000-000099000000}"/>
    <cellStyle name="20% - Accent5 2 2 2 3" xfId="529" xr:uid="{00000000-0005-0000-0000-00009A000000}"/>
    <cellStyle name="20% - Accent5 2 2 3" xfId="339" xr:uid="{00000000-0005-0000-0000-00009B000000}"/>
    <cellStyle name="20% - Accent5 2 2 3 2" xfId="583" xr:uid="{00000000-0005-0000-0000-00009C000000}"/>
    <cellStyle name="20% - Accent5 2 2 4" xfId="461" xr:uid="{00000000-0005-0000-0000-00009D000000}"/>
    <cellStyle name="20% - Accent5 2 3" xfId="258" xr:uid="{00000000-0005-0000-0000-00009E000000}"/>
    <cellStyle name="20% - Accent5 2 3 2" xfId="380" xr:uid="{00000000-0005-0000-0000-00009F000000}"/>
    <cellStyle name="20% - Accent5 2 3 2 2" xfId="624" xr:uid="{00000000-0005-0000-0000-0000A0000000}"/>
    <cellStyle name="20% - Accent5 2 3 3" xfId="502" xr:uid="{00000000-0005-0000-0000-0000A1000000}"/>
    <cellStyle name="20% - Accent5 2 4" xfId="312" xr:uid="{00000000-0005-0000-0000-0000A2000000}"/>
    <cellStyle name="20% - Accent5 2 4 2" xfId="556" xr:uid="{00000000-0005-0000-0000-0000A3000000}"/>
    <cellStyle name="20% - Accent5 2 5" xfId="434" xr:uid="{00000000-0005-0000-0000-0000A4000000}"/>
    <cellStyle name="20% - Accent5 2 6" xfId="745" xr:uid="{00000000-0005-0000-0000-0000A5000000}"/>
    <cellStyle name="20% - Accent5 3" xfId="126" xr:uid="{00000000-0005-0000-0000-0000A6000000}"/>
    <cellStyle name="20% - Accent5 3 2" xfId="272" xr:uid="{00000000-0005-0000-0000-0000A7000000}"/>
    <cellStyle name="20% - Accent5 3 2 2" xfId="394" xr:uid="{00000000-0005-0000-0000-0000A8000000}"/>
    <cellStyle name="20% - Accent5 3 2 2 2" xfId="638" xr:uid="{00000000-0005-0000-0000-0000A9000000}"/>
    <cellStyle name="20% - Accent5 3 2 3" xfId="516" xr:uid="{00000000-0005-0000-0000-0000AA000000}"/>
    <cellStyle name="20% - Accent5 3 3" xfId="326" xr:uid="{00000000-0005-0000-0000-0000AB000000}"/>
    <cellStyle name="20% - Accent5 3 3 2" xfId="570" xr:uid="{00000000-0005-0000-0000-0000AC000000}"/>
    <cellStyle name="20% - Accent5 3 4" xfId="448" xr:uid="{00000000-0005-0000-0000-0000AD000000}"/>
    <cellStyle name="20% - Accent5 4" xfId="175" xr:uid="{00000000-0005-0000-0000-0000AE000000}"/>
    <cellStyle name="20% - Accent5 4 2" xfId="353" xr:uid="{00000000-0005-0000-0000-0000AF000000}"/>
    <cellStyle name="20% - Accent5 4 2 2" xfId="597" xr:uid="{00000000-0005-0000-0000-0000B0000000}"/>
    <cellStyle name="20% - Accent5 4 3" xfId="475" xr:uid="{00000000-0005-0000-0000-0000B1000000}"/>
    <cellStyle name="20% - Accent5 5" xfId="226" xr:uid="{00000000-0005-0000-0000-0000B2000000}"/>
    <cellStyle name="20% - Accent5 5 2" xfId="367" xr:uid="{00000000-0005-0000-0000-0000B3000000}"/>
    <cellStyle name="20% - Accent5 5 2 2" xfId="611" xr:uid="{00000000-0005-0000-0000-0000B4000000}"/>
    <cellStyle name="20% - Accent5 5 3" xfId="489" xr:uid="{00000000-0005-0000-0000-0000B5000000}"/>
    <cellStyle name="20% - Accent5 6" xfId="299" xr:uid="{00000000-0005-0000-0000-0000B6000000}"/>
    <cellStyle name="20% - Accent5 6 2" xfId="543" xr:uid="{00000000-0005-0000-0000-0000B7000000}"/>
    <cellStyle name="20% - Accent5 7" xfId="421" xr:uid="{00000000-0005-0000-0000-0000B8000000}"/>
    <cellStyle name="20% - Accent6" xfId="39" builtinId="50" customBuiltin="1"/>
    <cellStyle name="20% - Accent6 2" xfId="110" xr:uid="{00000000-0005-0000-0000-0000BA000000}"/>
    <cellStyle name="20% - Accent6 2 2" xfId="157" xr:uid="{00000000-0005-0000-0000-0000BB000000}"/>
    <cellStyle name="20% - Accent6 2 2 2" xfId="287" xr:uid="{00000000-0005-0000-0000-0000BC000000}"/>
    <cellStyle name="20% - Accent6 2 2 2 2" xfId="409" xr:uid="{00000000-0005-0000-0000-0000BD000000}"/>
    <cellStyle name="20% - Accent6 2 2 2 2 2" xfId="653" xr:uid="{00000000-0005-0000-0000-0000BE000000}"/>
    <cellStyle name="20% - Accent6 2 2 2 3" xfId="531" xr:uid="{00000000-0005-0000-0000-0000BF000000}"/>
    <cellStyle name="20% - Accent6 2 2 3" xfId="341" xr:uid="{00000000-0005-0000-0000-0000C0000000}"/>
    <cellStyle name="20% - Accent6 2 2 3 2" xfId="585" xr:uid="{00000000-0005-0000-0000-0000C1000000}"/>
    <cellStyle name="20% - Accent6 2 2 4" xfId="463" xr:uid="{00000000-0005-0000-0000-0000C2000000}"/>
    <cellStyle name="20% - Accent6 2 3" xfId="260" xr:uid="{00000000-0005-0000-0000-0000C3000000}"/>
    <cellStyle name="20% - Accent6 2 3 2" xfId="382" xr:uid="{00000000-0005-0000-0000-0000C4000000}"/>
    <cellStyle name="20% - Accent6 2 3 2 2" xfId="626" xr:uid="{00000000-0005-0000-0000-0000C5000000}"/>
    <cellStyle name="20% - Accent6 2 3 3" xfId="504" xr:uid="{00000000-0005-0000-0000-0000C6000000}"/>
    <cellStyle name="20% - Accent6 2 4" xfId="314" xr:uid="{00000000-0005-0000-0000-0000C7000000}"/>
    <cellStyle name="20% - Accent6 2 4 2" xfId="558" xr:uid="{00000000-0005-0000-0000-0000C8000000}"/>
    <cellStyle name="20% - Accent6 2 5" xfId="436" xr:uid="{00000000-0005-0000-0000-0000C9000000}"/>
    <cellStyle name="20% - Accent6 2 6" xfId="747" xr:uid="{00000000-0005-0000-0000-0000CA000000}"/>
    <cellStyle name="20% - Accent6 3" xfId="128" xr:uid="{00000000-0005-0000-0000-0000CB000000}"/>
    <cellStyle name="20% - Accent6 3 2" xfId="274" xr:uid="{00000000-0005-0000-0000-0000CC000000}"/>
    <cellStyle name="20% - Accent6 3 2 2" xfId="396" xr:uid="{00000000-0005-0000-0000-0000CD000000}"/>
    <cellStyle name="20% - Accent6 3 2 2 2" xfId="640" xr:uid="{00000000-0005-0000-0000-0000CE000000}"/>
    <cellStyle name="20% - Accent6 3 2 3" xfId="518" xr:uid="{00000000-0005-0000-0000-0000CF000000}"/>
    <cellStyle name="20% - Accent6 3 3" xfId="328" xr:uid="{00000000-0005-0000-0000-0000D0000000}"/>
    <cellStyle name="20% - Accent6 3 3 2" xfId="572" xr:uid="{00000000-0005-0000-0000-0000D1000000}"/>
    <cellStyle name="20% - Accent6 3 4" xfId="450" xr:uid="{00000000-0005-0000-0000-0000D2000000}"/>
    <cellStyle name="20% - Accent6 4" xfId="177" xr:uid="{00000000-0005-0000-0000-0000D3000000}"/>
    <cellStyle name="20% - Accent6 4 2" xfId="355" xr:uid="{00000000-0005-0000-0000-0000D4000000}"/>
    <cellStyle name="20% - Accent6 4 2 2" xfId="599" xr:uid="{00000000-0005-0000-0000-0000D5000000}"/>
    <cellStyle name="20% - Accent6 4 3" xfId="477" xr:uid="{00000000-0005-0000-0000-0000D6000000}"/>
    <cellStyle name="20% - Accent6 5" xfId="228" xr:uid="{00000000-0005-0000-0000-0000D7000000}"/>
    <cellStyle name="20% - Accent6 5 2" xfId="369" xr:uid="{00000000-0005-0000-0000-0000D8000000}"/>
    <cellStyle name="20% - Accent6 5 2 2" xfId="613" xr:uid="{00000000-0005-0000-0000-0000D9000000}"/>
    <cellStyle name="20% - Accent6 5 3" xfId="491" xr:uid="{00000000-0005-0000-0000-0000DA000000}"/>
    <cellStyle name="20% - Accent6 6" xfId="301" xr:uid="{00000000-0005-0000-0000-0000DB000000}"/>
    <cellStyle name="20% - Accent6 6 2" xfId="545" xr:uid="{00000000-0005-0000-0000-0000DC000000}"/>
    <cellStyle name="20% - Accent6 7" xfId="423" xr:uid="{00000000-0005-0000-0000-0000DD000000}"/>
    <cellStyle name="40% - Accent1" xfId="20" builtinId="31" customBuiltin="1"/>
    <cellStyle name="40% - Accent1 2" xfId="101" xr:uid="{00000000-0005-0000-0000-0000DF000000}"/>
    <cellStyle name="40% - Accent1 2 2" xfId="148" xr:uid="{00000000-0005-0000-0000-0000E0000000}"/>
    <cellStyle name="40% - Accent1 2 2 2" xfId="278" xr:uid="{00000000-0005-0000-0000-0000E1000000}"/>
    <cellStyle name="40% - Accent1 2 2 2 2" xfId="400" xr:uid="{00000000-0005-0000-0000-0000E2000000}"/>
    <cellStyle name="40% - Accent1 2 2 2 2 2" xfId="644" xr:uid="{00000000-0005-0000-0000-0000E3000000}"/>
    <cellStyle name="40% - Accent1 2 2 2 3" xfId="522" xr:uid="{00000000-0005-0000-0000-0000E4000000}"/>
    <cellStyle name="40% - Accent1 2 2 3" xfId="332" xr:uid="{00000000-0005-0000-0000-0000E5000000}"/>
    <cellStyle name="40% - Accent1 2 2 3 2" xfId="576" xr:uid="{00000000-0005-0000-0000-0000E6000000}"/>
    <cellStyle name="40% - Accent1 2 2 4" xfId="454" xr:uid="{00000000-0005-0000-0000-0000E7000000}"/>
    <cellStyle name="40% - Accent1 2 3" xfId="251" xr:uid="{00000000-0005-0000-0000-0000E8000000}"/>
    <cellStyle name="40% - Accent1 2 3 2" xfId="373" xr:uid="{00000000-0005-0000-0000-0000E9000000}"/>
    <cellStyle name="40% - Accent1 2 3 2 2" xfId="617" xr:uid="{00000000-0005-0000-0000-0000EA000000}"/>
    <cellStyle name="40% - Accent1 2 3 3" xfId="495" xr:uid="{00000000-0005-0000-0000-0000EB000000}"/>
    <cellStyle name="40% - Accent1 2 4" xfId="305" xr:uid="{00000000-0005-0000-0000-0000EC000000}"/>
    <cellStyle name="40% - Accent1 2 4 2" xfId="549" xr:uid="{00000000-0005-0000-0000-0000ED000000}"/>
    <cellStyle name="40% - Accent1 2 5" xfId="427" xr:uid="{00000000-0005-0000-0000-0000EE000000}"/>
    <cellStyle name="40% - Accent1 2 6" xfId="738" xr:uid="{00000000-0005-0000-0000-0000EF000000}"/>
    <cellStyle name="40% - Accent1 3" xfId="119" xr:uid="{00000000-0005-0000-0000-0000F0000000}"/>
    <cellStyle name="40% - Accent1 3 2" xfId="265" xr:uid="{00000000-0005-0000-0000-0000F1000000}"/>
    <cellStyle name="40% - Accent1 3 2 2" xfId="387" xr:uid="{00000000-0005-0000-0000-0000F2000000}"/>
    <cellStyle name="40% - Accent1 3 2 2 2" xfId="631" xr:uid="{00000000-0005-0000-0000-0000F3000000}"/>
    <cellStyle name="40% - Accent1 3 2 3" xfId="509" xr:uid="{00000000-0005-0000-0000-0000F4000000}"/>
    <cellStyle name="40% - Accent1 3 3" xfId="319" xr:uid="{00000000-0005-0000-0000-0000F5000000}"/>
    <cellStyle name="40% - Accent1 3 3 2" xfId="563" xr:uid="{00000000-0005-0000-0000-0000F6000000}"/>
    <cellStyle name="40% - Accent1 3 4" xfId="441" xr:uid="{00000000-0005-0000-0000-0000F7000000}"/>
    <cellStyle name="40% - Accent1 4" xfId="168" xr:uid="{00000000-0005-0000-0000-0000F8000000}"/>
    <cellStyle name="40% - Accent1 4 2" xfId="346" xr:uid="{00000000-0005-0000-0000-0000F9000000}"/>
    <cellStyle name="40% - Accent1 4 2 2" xfId="590" xr:uid="{00000000-0005-0000-0000-0000FA000000}"/>
    <cellStyle name="40% - Accent1 4 3" xfId="468" xr:uid="{00000000-0005-0000-0000-0000FB000000}"/>
    <cellStyle name="40% - Accent1 5" xfId="219" xr:uid="{00000000-0005-0000-0000-0000FC000000}"/>
    <cellStyle name="40% - Accent1 5 2" xfId="360" xr:uid="{00000000-0005-0000-0000-0000FD000000}"/>
    <cellStyle name="40% - Accent1 5 2 2" xfId="604" xr:uid="{00000000-0005-0000-0000-0000FE000000}"/>
    <cellStyle name="40% - Accent1 5 3" xfId="482" xr:uid="{00000000-0005-0000-0000-0000FF000000}"/>
    <cellStyle name="40% - Accent1 6" xfId="292" xr:uid="{00000000-0005-0000-0000-000000010000}"/>
    <cellStyle name="40% - Accent1 6 2" xfId="536" xr:uid="{00000000-0005-0000-0000-000001010000}"/>
    <cellStyle name="40% - Accent1 7" xfId="414" xr:uid="{00000000-0005-0000-0000-000002010000}"/>
    <cellStyle name="40% - Accent2" xfId="24" builtinId="35" customBuiltin="1"/>
    <cellStyle name="40% - Accent2 2" xfId="103" xr:uid="{00000000-0005-0000-0000-000004010000}"/>
    <cellStyle name="40% - Accent2 2 2" xfId="150" xr:uid="{00000000-0005-0000-0000-000005010000}"/>
    <cellStyle name="40% - Accent2 2 2 2" xfId="280" xr:uid="{00000000-0005-0000-0000-000006010000}"/>
    <cellStyle name="40% - Accent2 2 2 2 2" xfId="402" xr:uid="{00000000-0005-0000-0000-000007010000}"/>
    <cellStyle name="40% - Accent2 2 2 2 2 2" xfId="646" xr:uid="{00000000-0005-0000-0000-000008010000}"/>
    <cellStyle name="40% - Accent2 2 2 2 3" xfId="524" xr:uid="{00000000-0005-0000-0000-000009010000}"/>
    <cellStyle name="40% - Accent2 2 2 3" xfId="334" xr:uid="{00000000-0005-0000-0000-00000A010000}"/>
    <cellStyle name="40% - Accent2 2 2 3 2" xfId="578" xr:uid="{00000000-0005-0000-0000-00000B010000}"/>
    <cellStyle name="40% - Accent2 2 2 4" xfId="456" xr:uid="{00000000-0005-0000-0000-00000C010000}"/>
    <cellStyle name="40% - Accent2 2 3" xfId="253" xr:uid="{00000000-0005-0000-0000-00000D010000}"/>
    <cellStyle name="40% - Accent2 2 3 2" xfId="375" xr:uid="{00000000-0005-0000-0000-00000E010000}"/>
    <cellStyle name="40% - Accent2 2 3 2 2" xfId="619" xr:uid="{00000000-0005-0000-0000-00000F010000}"/>
    <cellStyle name="40% - Accent2 2 3 3" xfId="497" xr:uid="{00000000-0005-0000-0000-000010010000}"/>
    <cellStyle name="40% - Accent2 2 4" xfId="307" xr:uid="{00000000-0005-0000-0000-000011010000}"/>
    <cellStyle name="40% - Accent2 2 4 2" xfId="551" xr:uid="{00000000-0005-0000-0000-000012010000}"/>
    <cellStyle name="40% - Accent2 2 5" xfId="429" xr:uid="{00000000-0005-0000-0000-000013010000}"/>
    <cellStyle name="40% - Accent2 2 6" xfId="740" xr:uid="{00000000-0005-0000-0000-000014010000}"/>
    <cellStyle name="40% - Accent2 3" xfId="121" xr:uid="{00000000-0005-0000-0000-000015010000}"/>
    <cellStyle name="40% - Accent2 3 2" xfId="267" xr:uid="{00000000-0005-0000-0000-000016010000}"/>
    <cellStyle name="40% - Accent2 3 2 2" xfId="389" xr:uid="{00000000-0005-0000-0000-000017010000}"/>
    <cellStyle name="40% - Accent2 3 2 2 2" xfId="633" xr:uid="{00000000-0005-0000-0000-000018010000}"/>
    <cellStyle name="40% - Accent2 3 2 3" xfId="511" xr:uid="{00000000-0005-0000-0000-000019010000}"/>
    <cellStyle name="40% - Accent2 3 3" xfId="321" xr:uid="{00000000-0005-0000-0000-00001A010000}"/>
    <cellStyle name="40% - Accent2 3 3 2" xfId="565" xr:uid="{00000000-0005-0000-0000-00001B010000}"/>
    <cellStyle name="40% - Accent2 3 4" xfId="443" xr:uid="{00000000-0005-0000-0000-00001C010000}"/>
    <cellStyle name="40% - Accent2 4" xfId="170" xr:uid="{00000000-0005-0000-0000-00001D010000}"/>
    <cellStyle name="40% - Accent2 4 2" xfId="348" xr:uid="{00000000-0005-0000-0000-00001E010000}"/>
    <cellStyle name="40% - Accent2 4 2 2" xfId="592" xr:uid="{00000000-0005-0000-0000-00001F010000}"/>
    <cellStyle name="40% - Accent2 4 3" xfId="470" xr:uid="{00000000-0005-0000-0000-000020010000}"/>
    <cellStyle name="40% - Accent2 5" xfId="221" xr:uid="{00000000-0005-0000-0000-000021010000}"/>
    <cellStyle name="40% - Accent2 5 2" xfId="362" xr:uid="{00000000-0005-0000-0000-000022010000}"/>
    <cellStyle name="40% - Accent2 5 2 2" xfId="606" xr:uid="{00000000-0005-0000-0000-000023010000}"/>
    <cellStyle name="40% - Accent2 5 3" xfId="484" xr:uid="{00000000-0005-0000-0000-000024010000}"/>
    <cellStyle name="40% - Accent2 6" xfId="294" xr:uid="{00000000-0005-0000-0000-000025010000}"/>
    <cellStyle name="40% - Accent2 6 2" xfId="538" xr:uid="{00000000-0005-0000-0000-000026010000}"/>
    <cellStyle name="40% - Accent2 7" xfId="416" xr:uid="{00000000-0005-0000-0000-000027010000}"/>
    <cellStyle name="40% - Accent3" xfId="28" builtinId="39" customBuiltin="1"/>
    <cellStyle name="40% - Accent3 2" xfId="105" xr:uid="{00000000-0005-0000-0000-000029010000}"/>
    <cellStyle name="40% - Accent3 2 2" xfId="152" xr:uid="{00000000-0005-0000-0000-00002A010000}"/>
    <cellStyle name="40% - Accent3 2 2 2" xfId="282" xr:uid="{00000000-0005-0000-0000-00002B010000}"/>
    <cellStyle name="40% - Accent3 2 2 2 2" xfId="404" xr:uid="{00000000-0005-0000-0000-00002C010000}"/>
    <cellStyle name="40% - Accent3 2 2 2 2 2" xfId="648" xr:uid="{00000000-0005-0000-0000-00002D010000}"/>
    <cellStyle name="40% - Accent3 2 2 2 3" xfId="526" xr:uid="{00000000-0005-0000-0000-00002E010000}"/>
    <cellStyle name="40% - Accent3 2 2 3" xfId="336" xr:uid="{00000000-0005-0000-0000-00002F010000}"/>
    <cellStyle name="40% - Accent3 2 2 3 2" xfId="580" xr:uid="{00000000-0005-0000-0000-000030010000}"/>
    <cellStyle name="40% - Accent3 2 2 4" xfId="458" xr:uid="{00000000-0005-0000-0000-000031010000}"/>
    <cellStyle name="40% - Accent3 2 3" xfId="255" xr:uid="{00000000-0005-0000-0000-000032010000}"/>
    <cellStyle name="40% - Accent3 2 3 2" xfId="377" xr:uid="{00000000-0005-0000-0000-000033010000}"/>
    <cellStyle name="40% - Accent3 2 3 2 2" xfId="621" xr:uid="{00000000-0005-0000-0000-000034010000}"/>
    <cellStyle name="40% - Accent3 2 3 3" xfId="499" xr:uid="{00000000-0005-0000-0000-000035010000}"/>
    <cellStyle name="40% - Accent3 2 4" xfId="309" xr:uid="{00000000-0005-0000-0000-000036010000}"/>
    <cellStyle name="40% - Accent3 2 4 2" xfId="553" xr:uid="{00000000-0005-0000-0000-000037010000}"/>
    <cellStyle name="40% - Accent3 2 5" xfId="431" xr:uid="{00000000-0005-0000-0000-000038010000}"/>
    <cellStyle name="40% - Accent3 2 6" xfId="742" xr:uid="{00000000-0005-0000-0000-000039010000}"/>
    <cellStyle name="40% - Accent3 3" xfId="123" xr:uid="{00000000-0005-0000-0000-00003A010000}"/>
    <cellStyle name="40% - Accent3 3 2" xfId="269" xr:uid="{00000000-0005-0000-0000-00003B010000}"/>
    <cellStyle name="40% - Accent3 3 2 2" xfId="391" xr:uid="{00000000-0005-0000-0000-00003C010000}"/>
    <cellStyle name="40% - Accent3 3 2 2 2" xfId="635" xr:uid="{00000000-0005-0000-0000-00003D010000}"/>
    <cellStyle name="40% - Accent3 3 2 3" xfId="513" xr:uid="{00000000-0005-0000-0000-00003E010000}"/>
    <cellStyle name="40% - Accent3 3 3" xfId="323" xr:uid="{00000000-0005-0000-0000-00003F010000}"/>
    <cellStyle name="40% - Accent3 3 3 2" xfId="567" xr:uid="{00000000-0005-0000-0000-000040010000}"/>
    <cellStyle name="40% - Accent3 3 4" xfId="445" xr:uid="{00000000-0005-0000-0000-000041010000}"/>
    <cellStyle name="40% - Accent3 4" xfId="172" xr:uid="{00000000-0005-0000-0000-000042010000}"/>
    <cellStyle name="40% - Accent3 4 2" xfId="350" xr:uid="{00000000-0005-0000-0000-000043010000}"/>
    <cellStyle name="40% - Accent3 4 2 2" xfId="594" xr:uid="{00000000-0005-0000-0000-000044010000}"/>
    <cellStyle name="40% - Accent3 4 3" xfId="472" xr:uid="{00000000-0005-0000-0000-000045010000}"/>
    <cellStyle name="40% - Accent3 5" xfId="223" xr:uid="{00000000-0005-0000-0000-000046010000}"/>
    <cellStyle name="40% - Accent3 5 2" xfId="364" xr:uid="{00000000-0005-0000-0000-000047010000}"/>
    <cellStyle name="40% - Accent3 5 2 2" xfId="608" xr:uid="{00000000-0005-0000-0000-000048010000}"/>
    <cellStyle name="40% - Accent3 5 3" xfId="486" xr:uid="{00000000-0005-0000-0000-000049010000}"/>
    <cellStyle name="40% - Accent3 6" xfId="296" xr:uid="{00000000-0005-0000-0000-00004A010000}"/>
    <cellStyle name="40% - Accent3 6 2" xfId="540" xr:uid="{00000000-0005-0000-0000-00004B010000}"/>
    <cellStyle name="40% - Accent3 7" xfId="418" xr:uid="{00000000-0005-0000-0000-00004C010000}"/>
    <cellStyle name="40% - Accent4" xfId="32" builtinId="43" customBuiltin="1"/>
    <cellStyle name="40% - Accent4 2" xfId="107" xr:uid="{00000000-0005-0000-0000-00004E010000}"/>
    <cellStyle name="40% - Accent4 2 2" xfId="154" xr:uid="{00000000-0005-0000-0000-00004F010000}"/>
    <cellStyle name="40% - Accent4 2 2 2" xfId="284" xr:uid="{00000000-0005-0000-0000-000050010000}"/>
    <cellStyle name="40% - Accent4 2 2 2 2" xfId="406" xr:uid="{00000000-0005-0000-0000-000051010000}"/>
    <cellStyle name="40% - Accent4 2 2 2 2 2" xfId="650" xr:uid="{00000000-0005-0000-0000-000052010000}"/>
    <cellStyle name="40% - Accent4 2 2 2 3" xfId="528" xr:uid="{00000000-0005-0000-0000-000053010000}"/>
    <cellStyle name="40% - Accent4 2 2 3" xfId="338" xr:uid="{00000000-0005-0000-0000-000054010000}"/>
    <cellStyle name="40% - Accent4 2 2 3 2" xfId="582" xr:uid="{00000000-0005-0000-0000-000055010000}"/>
    <cellStyle name="40% - Accent4 2 2 4" xfId="460" xr:uid="{00000000-0005-0000-0000-000056010000}"/>
    <cellStyle name="40% - Accent4 2 3" xfId="257" xr:uid="{00000000-0005-0000-0000-000057010000}"/>
    <cellStyle name="40% - Accent4 2 3 2" xfId="379" xr:uid="{00000000-0005-0000-0000-000058010000}"/>
    <cellStyle name="40% - Accent4 2 3 2 2" xfId="623" xr:uid="{00000000-0005-0000-0000-000059010000}"/>
    <cellStyle name="40% - Accent4 2 3 3" xfId="501" xr:uid="{00000000-0005-0000-0000-00005A010000}"/>
    <cellStyle name="40% - Accent4 2 4" xfId="311" xr:uid="{00000000-0005-0000-0000-00005B010000}"/>
    <cellStyle name="40% - Accent4 2 4 2" xfId="555" xr:uid="{00000000-0005-0000-0000-00005C010000}"/>
    <cellStyle name="40% - Accent4 2 5" xfId="433" xr:uid="{00000000-0005-0000-0000-00005D010000}"/>
    <cellStyle name="40% - Accent4 2 6" xfId="744" xr:uid="{00000000-0005-0000-0000-00005E010000}"/>
    <cellStyle name="40% - Accent4 3" xfId="125" xr:uid="{00000000-0005-0000-0000-00005F010000}"/>
    <cellStyle name="40% - Accent4 3 2" xfId="271" xr:uid="{00000000-0005-0000-0000-000060010000}"/>
    <cellStyle name="40% - Accent4 3 2 2" xfId="393" xr:uid="{00000000-0005-0000-0000-000061010000}"/>
    <cellStyle name="40% - Accent4 3 2 2 2" xfId="637" xr:uid="{00000000-0005-0000-0000-000062010000}"/>
    <cellStyle name="40% - Accent4 3 2 3" xfId="515" xr:uid="{00000000-0005-0000-0000-000063010000}"/>
    <cellStyle name="40% - Accent4 3 3" xfId="325" xr:uid="{00000000-0005-0000-0000-000064010000}"/>
    <cellStyle name="40% - Accent4 3 3 2" xfId="569" xr:uid="{00000000-0005-0000-0000-000065010000}"/>
    <cellStyle name="40% - Accent4 3 4" xfId="447" xr:uid="{00000000-0005-0000-0000-000066010000}"/>
    <cellStyle name="40% - Accent4 4" xfId="174" xr:uid="{00000000-0005-0000-0000-000067010000}"/>
    <cellStyle name="40% - Accent4 4 2" xfId="352" xr:uid="{00000000-0005-0000-0000-000068010000}"/>
    <cellStyle name="40% - Accent4 4 2 2" xfId="596" xr:uid="{00000000-0005-0000-0000-000069010000}"/>
    <cellStyle name="40% - Accent4 4 3" xfId="474" xr:uid="{00000000-0005-0000-0000-00006A010000}"/>
    <cellStyle name="40% - Accent4 5" xfId="225" xr:uid="{00000000-0005-0000-0000-00006B010000}"/>
    <cellStyle name="40% - Accent4 5 2" xfId="366" xr:uid="{00000000-0005-0000-0000-00006C010000}"/>
    <cellStyle name="40% - Accent4 5 2 2" xfId="610" xr:uid="{00000000-0005-0000-0000-00006D010000}"/>
    <cellStyle name="40% - Accent4 5 3" xfId="488" xr:uid="{00000000-0005-0000-0000-00006E010000}"/>
    <cellStyle name="40% - Accent4 6" xfId="298" xr:uid="{00000000-0005-0000-0000-00006F010000}"/>
    <cellStyle name="40% - Accent4 6 2" xfId="542" xr:uid="{00000000-0005-0000-0000-000070010000}"/>
    <cellStyle name="40% - Accent4 7" xfId="420" xr:uid="{00000000-0005-0000-0000-000071010000}"/>
    <cellStyle name="40% - Accent5" xfId="36" builtinId="47" customBuiltin="1"/>
    <cellStyle name="40% - Accent5 2" xfId="109" xr:uid="{00000000-0005-0000-0000-000073010000}"/>
    <cellStyle name="40% - Accent5 2 2" xfId="156" xr:uid="{00000000-0005-0000-0000-000074010000}"/>
    <cellStyle name="40% - Accent5 2 2 2" xfId="286" xr:uid="{00000000-0005-0000-0000-000075010000}"/>
    <cellStyle name="40% - Accent5 2 2 2 2" xfId="408" xr:uid="{00000000-0005-0000-0000-000076010000}"/>
    <cellStyle name="40% - Accent5 2 2 2 2 2" xfId="652" xr:uid="{00000000-0005-0000-0000-000077010000}"/>
    <cellStyle name="40% - Accent5 2 2 2 3" xfId="530" xr:uid="{00000000-0005-0000-0000-000078010000}"/>
    <cellStyle name="40% - Accent5 2 2 3" xfId="340" xr:uid="{00000000-0005-0000-0000-000079010000}"/>
    <cellStyle name="40% - Accent5 2 2 3 2" xfId="584" xr:uid="{00000000-0005-0000-0000-00007A010000}"/>
    <cellStyle name="40% - Accent5 2 2 4" xfId="462" xr:uid="{00000000-0005-0000-0000-00007B010000}"/>
    <cellStyle name="40% - Accent5 2 3" xfId="259" xr:uid="{00000000-0005-0000-0000-00007C010000}"/>
    <cellStyle name="40% - Accent5 2 3 2" xfId="381" xr:uid="{00000000-0005-0000-0000-00007D010000}"/>
    <cellStyle name="40% - Accent5 2 3 2 2" xfId="625" xr:uid="{00000000-0005-0000-0000-00007E010000}"/>
    <cellStyle name="40% - Accent5 2 3 3" xfId="503" xr:uid="{00000000-0005-0000-0000-00007F010000}"/>
    <cellStyle name="40% - Accent5 2 4" xfId="313" xr:uid="{00000000-0005-0000-0000-000080010000}"/>
    <cellStyle name="40% - Accent5 2 4 2" xfId="557" xr:uid="{00000000-0005-0000-0000-000081010000}"/>
    <cellStyle name="40% - Accent5 2 5" xfId="435" xr:uid="{00000000-0005-0000-0000-000082010000}"/>
    <cellStyle name="40% - Accent5 2 6" xfId="746" xr:uid="{00000000-0005-0000-0000-000083010000}"/>
    <cellStyle name="40% - Accent5 3" xfId="127" xr:uid="{00000000-0005-0000-0000-000084010000}"/>
    <cellStyle name="40% - Accent5 3 2" xfId="273" xr:uid="{00000000-0005-0000-0000-000085010000}"/>
    <cellStyle name="40% - Accent5 3 2 2" xfId="395" xr:uid="{00000000-0005-0000-0000-000086010000}"/>
    <cellStyle name="40% - Accent5 3 2 2 2" xfId="639" xr:uid="{00000000-0005-0000-0000-000087010000}"/>
    <cellStyle name="40% - Accent5 3 2 3" xfId="517" xr:uid="{00000000-0005-0000-0000-000088010000}"/>
    <cellStyle name="40% - Accent5 3 3" xfId="327" xr:uid="{00000000-0005-0000-0000-000089010000}"/>
    <cellStyle name="40% - Accent5 3 3 2" xfId="571" xr:uid="{00000000-0005-0000-0000-00008A010000}"/>
    <cellStyle name="40% - Accent5 3 4" xfId="449" xr:uid="{00000000-0005-0000-0000-00008B010000}"/>
    <cellStyle name="40% - Accent5 4" xfId="176" xr:uid="{00000000-0005-0000-0000-00008C010000}"/>
    <cellStyle name="40% - Accent5 4 2" xfId="354" xr:uid="{00000000-0005-0000-0000-00008D010000}"/>
    <cellStyle name="40% - Accent5 4 2 2" xfId="598" xr:uid="{00000000-0005-0000-0000-00008E010000}"/>
    <cellStyle name="40% - Accent5 4 3" xfId="476" xr:uid="{00000000-0005-0000-0000-00008F010000}"/>
    <cellStyle name="40% - Accent5 5" xfId="227" xr:uid="{00000000-0005-0000-0000-000090010000}"/>
    <cellStyle name="40% - Accent5 5 2" xfId="368" xr:uid="{00000000-0005-0000-0000-000091010000}"/>
    <cellStyle name="40% - Accent5 5 2 2" xfId="612" xr:uid="{00000000-0005-0000-0000-000092010000}"/>
    <cellStyle name="40% - Accent5 5 3" xfId="490" xr:uid="{00000000-0005-0000-0000-000093010000}"/>
    <cellStyle name="40% - Accent5 6" xfId="300" xr:uid="{00000000-0005-0000-0000-000094010000}"/>
    <cellStyle name="40% - Accent5 6 2" xfId="544" xr:uid="{00000000-0005-0000-0000-000095010000}"/>
    <cellStyle name="40% - Accent5 7" xfId="422" xr:uid="{00000000-0005-0000-0000-000096010000}"/>
    <cellStyle name="40% - Accent6" xfId="40" builtinId="51" customBuiltin="1"/>
    <cellStyle name="40% - Accent6 2" xfId="111" xr:uid="{00000000-0005-0000-0000-000098010000}"/>
    <cellStyle name="40% - Accent6 2 2" xfId="158" xr:uid="{00000000-0005-0000-0000-000099010000}"/>
    <cellStyle name="40% - Accent6 2 2 2" xfId="288" xr:uid="{00000000-0005-0000-0000-00009A010000}"/>
    <cellStyle name="40% - Accent6 2 2 2 2" xfId="410" xr:uid="{00000000-0005-0000-0000-00009B010000}"/>
    <cellStyle name="40% - Accent6 2 2 2 2 2" xfId="654" xr:uid="{00000000-0005-0000-0000-00009C010000}"/>
    <cellStyle name="40% - Accent6 2 2 2 3" xfId="532" xr:uid="{00000000-0005-0000-0000-00009D010000}"/>
    <cellStyle name="40% - Accent6 2 2 3" xfId="342" xr:uid="{00000000-0005-0000-0000-00009E010000}"/>
    <cellStyle name="40% - Accent6 2 2 3 2" xfId="586" xr:uid="{00000000-0005-0000-0000-00009F010000}"/>
    <cellStyle name="40% - Accent6 2 2 4" xfId="464" xr:uid="{00000000-0005-0000-0000-0000A0010000}"/>
    <cellStyle name="40% - Accent6 2 3" xfId="261" xr:uid="{00000000-0005-0000-0000-0000A1010000}"/>
    <cellStyle name="40% - Accent6 2 3 2" xfId="383" xr:uid="{00000000-0005-0000-0000-0000A2010000}"/>
    <cellStyle name="40% - Accent6 2 3 2 2" xfId="627" xr:uid="{00000000-0005-0000-0000-0000A3010000}"/>
    <cellStyle name="40% - Accent6 2 3 3" xfId="505" xr:uid="{00000000-0005-0000-0000-0000A4010000}"/>
    <cellStyle name="40% - Accent6 2 4" xfId="315" xr:uid="{00000000-0005-0000-0000-0000A5010000}"/>
    <cellStyle name="40% - Accent6 2 4 2" xfId="559" xr:uid="{00000000-0005-0000-0000-0000A6010000}"/>
    <cellStyle name="40% - Accent6 2 5" xfId="437" xr:uid="{00000000-0005-0000-0000-0000A7010000}"/>
    <cellStyle name="40% - Accent6 2 6" xfId="748" xr:uid="{00000000-0005-0000-0000-0000A8010000}"/>
    <cellStyle name="40% - Accent6 3" xfId="129" xr:uid="{00000000-0005-0000-0000-0000A9010000}"/>
    <cellStyle name="40% - Accent6 3 2" xfId="275" xr:uid="{00000000-0005-0000-0000-0000AA010000}"/>
    <cellStyle name="40% - Accent6 3 2 2" xfId="397" xr:uid="{00000000-0005-0000-0000-0000AB010000}"/>
    <cellStyle name="40% - Accent6 3 2 2 2" xfId="641" xr:uid="{00000000-0005-0000-0000-0000AC010000}"/>
    <cellStyle name="40% - Accent6 3 2 3" xfId="519" xr:uid="{00000000-0005-0000-0000-0000AD010000}"/>
    <cellStyle name="40% - Accent6 3 3" xfId="329" xr:uid="{00000000-0005-0000-0000-0000AE010000}"/>
    <cellStyle name="40% - Accent6 3 3 2" xfId="573" xr:uid="{00000000-0005-0000-0000-0000AF010000}"/>
    <cellStyle name="40% - Accent6 3 4" xfId="451" xr:uid="{00000000-0005-0000-0000-0000B0010000}"/>
    <cellStyle name="40% - Accent6 4" xfId="178" xr:uid="{00000000-0005-0000-0000-0000B1010000}"/>
    <cellStyle name="40% - Accent6 4 2" xfId="356" xr:uid="{00000000-0005-0000-0000-0000B2010000}"/>
    <cellStyle name="40% - Accent6 4 2 2" xfId="600" xr:uid="{00000000-0005-0000-0000-0000B3010000}"/>
    <cellStyle name="40% - Accent6 4 3" xfId="478" xr:uid="{00000000-0005-0000-0000-0000B4010000}"/>
    <cellStyle name="40% - Accent6 5" xfId="229" xr:uid="{00000000-0005-0000-0000-0000B5010000}"/>
    <cellStyle name="40% - Accent6 5 2" xfId="370" xr:uid="{00000000-0005-0000-0000-0000B6010000}"/>
    <cellStyle name="40% - Accent6 5 2 2" xfId="614" xr:uid="{00000000-0005-0000-0000-0000B7010000}"/>
    <cellStyle name="40% - Accent6 5 3" xfId="492" xr:uid="{00000000-0005-0000-0000-0000B8010000}"/>
    <cellStyle name="40% - Accent6 6" xfId="302" xr:uid="{00000000-0005-0000-0000-0000B9010000}"/>
    <cellStyle name="40% - Accent6 6 2" xfId="546" xr:uid="{00000000-0005-0000-0000-0000BA010000}"/>
    <cellStyle name="40% - Accent6 7" xfId="424" xr:uid="{00000000-0005-0000-0000-0000BB01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655" builtinId="3"/>
    <cellStyle name="Comma 2" xfId="780" xr:uid="{00000000-0005-0000-0000-0000CC010000}"/>
    <cellStyle name="Currency 2" xfId="115" xr:uid="{00000000-0005-0000-0000-0000CE010000}"/>
    <cellStyle name="Currency 3" xfId="784" xr:uid="{00000000-0005-0000-0000-0000CF01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56" xr:uid="{00000000-0005-0000-0000-0000DA010000}"/>
    <cellStyle name="Normal 10 2" xfId="771" xr:uid="{00000000-0005-0000-0000-0000DB010000}"/>
    <cellStyle name="Normal 2" xfId="43" xr:uid="{00000000-0005-0000-0000-0000DC010000}"/>
    <cellStyle name="Normal 2 2" xfId="114" xr:uid="{00000000-0005-0000-0000-0000DD010000}"/>
    <cellStyle name="Normal 2 3" xfId="699" xr:uid="{00000000-0005-0000-0000-0000DE010000}"/>
    <cellStyle name="Normal 2 4" xfId="697" xr:uid="{00000000-0005-0000-0000-0000DF010000}"/>
    <cellStyle name="Normal 3" xfId="64" xr:uid="{00000000-0005-0000-0000-0000E0010000}"/>
    <cellStyle name="Normal 4" xfId="80" xr:uid="{00000000-0005-0000-0000-0000E1010000}"/>
    <cellStyle name="Normal 4 2" xfId="230" xr:uid="{00000000-0005-0000-0000-0000E2010000}"/>
    <cellStyle name="Normal 4 2 2" xfId="752" xr:uid="{00000000-0005-0000-0000-0000E3010000}"/>
    <cellStyle name="Normal 4 3" xfId="197" xr:uid="{00000000-0005-0000-0000-0000E4010000}"/>
    <cellStyle name="Normal 5" xfId="116" xr:uid="{00000000-0005-0000-0000-0000E5010000}"/>
    <cellStyle name="Normal 5 2" xfId="262" xr:uid="{00000000-0005-0000-0000-0000E6010000}"/>
    <cellStyle name="Normal 5 2 2" xfId="384" xr:uid="{00000000-0005-0000-0000-0000E7010000}"/>
    <cellStyle name="Normal 5 2 2 2" xfId="628" xr:uid="{00000000-0005-0000-0000-0000E8010000}"/>
    <cellStyle name="Normal 5 2 3" xfId="506" xr:uid="{00000000-0005-0000-0000-0000E9010000}"/>
    <cellStyle name="Normal 5 3" xfId="316" xr:uid="{00000000-0005-0000-0000-0000EA010000}"/>
    <cellStyle name="Normal 5 3 2" xfId="560" xr:uid="{00000000-0005-0000-0000-0000EB010000}"/>
    <cellStyle name="Normal 5 4" xfId="438" xr:uid="{00000000-0005-0000-0000-0000EC010000}"/>
    <cellStyle name="Normal 6" xfId="165" xr:uid="{00000000-0005-0000-0000-0000ED010000}"/>
    <cellStyle name="Normal 6 2" xfId="343" xr:uid="{00000000-0005-0000-0000-0000EE010000}"/>
    <cellStyle name="Normal 6 2 2" xfId="587" xr:uid="{00000000-0005-0000-0000-0000EF010000}"/>
    <cellStyle name="Normal 6 3" xfId="465" xr:uid="{00000000-0005-0000-0000-0000F0010000}"/>
    <cellStyle name="Normal 7" xfId="216" xr:uid="{00000000-0005-0000-0000-0000F1010000}"/>
    <cellStyle name="Normal 7 2" xfId="357" xr:uid="{00000000-0005-0000-0000-0000F2010000}"/>
    <cellStyle name="Normal 7 2 2" xfId="601" xr:uid="{00000000-0005-0000-0000-0000F3010000}"/>
    <cellStyle name="Normal 7 3" xfId="479" xr:uid="{00000000-0005-0000-0000-0000F4010000}"/>
    <cellStyle name="Normal 8" xfId="289" xr:uid="{00000000-0005-0000-0000-0000F5010000}"/>
    <cellStyle name="Normal 8 2" xfId="533" xr:uid="{00000000-0005-0000-0000-0000F6010000}"/>
    <cellStyle name="Normal 9" xfId="411" xr:uid="{00000000-0005-0000-0000-0000F7010000}"/>
    <cellStyle name="Note" xfId="15" builtinId="10" customBuiltin="1"/>
    <cellStyle name="Note 2" xfId="99" xr:uid="{00000000-0005-0000-0000-0000F9010000}"/>
    <cellStyle name="Note 2 2" xfId="146" xr:uid="{00000000-0005-0000-0000-0000FA010000}"/>
    <cellStyle name="Note 2 2 2" xfId="276" xr:uid="{00000000-0005-0000-0000-0000FB010000}"/>
    <cellStyle name="Note 2 2 2 2" xfId="398" xr:uid="{00000000-0005-0000-0000-0000FC010000}"/>
    <cellStyle name="Note 2 2 2 2 2" xfId="642" xr:uid="{00000000-0005-0000-0000-0000FD010000}"/>
    <cellStyle name="Note 2 2 2 3" xfId="520" xr:uid="{00000000-0005-0000-0000-0000FE010000}"/>
    <cellStyle name="Note 2 2 3" xfId="330" xr:uid="{00000000-0005-0000-0000-0000FF010000}"/>
    <cellStyle name="Note 2 2 3 2" xfId="574" xr:uid="{00000000-0005-0000-0000-000000020000}"/>
    <cellStyle name="Note 2 2 4" xfId="452" xr:uid="{00000000-0005-0000-0000-000001020000}"/>
    <cellStyle name="Note 2 3" xfId="249" xr:uid="{00000000-0005-0000-0000-000002020000}"/>
    <cellStyle name="Note 2 3 2" xfId="371" xr:uid="{00000000-0005-0000-0000-000003020000}"/>
    <cellStyle name="Note 2 3 2 2" xfId="615" xr:uid="{00000000-0005-0000-0000-000004020000}"/>
    <cellStyle name="Note 2 3 3" xfId="493" xr:uid="{00000000-0005-0000-0000-000005020000}"/>
    <cellStyle name="Note 2 4" xfId="303" xr:uid="{00000000-0005-0000-0000-000006020000}"/>
    <cellStyle name="Note 2 4 2" xfId="547" xr:uid="{00000000-0005-0000-0000-000007020000}"/>
    <cellStyle name="Note 2 5" xfId="425" xr:uid="{00000000-0005-0000-0000-000008020000}"/>
    <cellStyle name="Note 2 6" xfId="736" xr:uid="{00000000-0005-0000-0000-000009020000}"/>
    <cellStyle name="Note 3" xfId="117" xr:uid="{00000000-0005-0000-0000-00000A020000}"/>
    <cellStyle name="Note 3 2" xfId="263" xr:uid="{00000000-0005-0000-0000-00000B020000}"/>
    <cellStyle name="Note 3 2 2" xfId="385" xr:uid="{00000000-0005-0000-0000-00000C020000}"/>
    <cellStyle name="Note 3 2 2 2" xfId="629" xr:uid="{00000000-0005-0000-0000-00000D020000}"/>
    <cellStyle name="Note 3 2 3" xfId="507" xr:uid="{00000000-0005-0000-0000-00000E020000}"/>
    <cellStyle name="Note 3 3" xfId="317" xr:uid="{00000000-0005-0000-0000-00000F020000}"/>
    <cellStyle name="Note 3 3 2" xfId="561" xr:uid="{00000000-0005-0000-0000-000010020000}"/>
    <cellStyle name="Note 3 4" xfId="439" xr:uid="{00000000-0005-0000-0000-000011020000}"/>
    <cellStyle name="Note 4" xfId="166" xr:uid="{00000000-0005-0000-0000-000012020000}"/>
    <cellStyle name="Note 4 2" xfId="344" xr:uid="{00000000-0005-0000-0000-000013020000}"/>
    <cellStyle name="Note 4 2 2" xfId="588" xr:uid="{00000000-0005-0000-0000-000014020000}"/>
    <cellStyle name="Note 4 3" xfId="466" xr:uid="{00000000-0005-0000-0000-000015020000}"/>
    <cellStyle name="Note 5" xfId="217" xr:uid="{00000000-0005-0000-0000-000016020000}"/>
    <cellStyle name="Note 5 2" xfId="358" xr:uid="{00000000-0005-0000-0000-000017020000}"/>
    <cellStyle name="Note 5 2 2" xfId="602" xr:uid="{00000000-0005-0000-0000-000018020000}"/>
    <cellStyle name="Note 5 3" xfId="480" xr:uid="{00000000-0005-0000-0000-000019020000}"/>
    <cellStyle name="Note 6" xfId="290" xr:uid="{00000000-0005-0000-0000-00001A020000}"/>
    <cellStyle name="Note 6 2" xfId="534" xr:uid="{00000000-0005-0000-0000-00001B020000}"/>
    <cellStyle name="Note 7" xfId="412" xr:uid="{00000000-0005-0000-0000-00001C020000}"/>
    <cellStyle name="Output" xfId="10" builtinId="21" customBuiltin="1"/>
    <cellStyle name="sCurrency" xfId="46" xr:uid="{00000000-0005-0000-0000-00001E020000}"/>
    <cellStyle name="sCurrency 2" xfId="74" xr:uid="{00000000-0005-0000-0000-00001F020000}"/>
    <cellStyle name="sCurrency 2 2" xfId="678" xr:uid="{00000000-0005-0000-0000-000020020000}"/>
    <cellStyle name="sCurrency 2 2 2" xfId="787" xr:uid="{00000000-0005-0000-0000-000021020000}"/>
    <cellStyle name="sCurrency 2 3" xfId="729" xr:uid="{00000000-0005-0000-0000-000022020000}"/>
    <cellStyle name="sCurrency 3" xfId="85" xr:uid="{00000000-0005-0000-0000-000023020000}"/>
    <cellStyle name="sCurrency 3 2" xfId="235" xr:uid="{00000000-0005-0000-0000-000024020000}"/>
    <cellStyle name="sCurrency 3 2 2" xfId="757" xr:uid="{00000000-0005-0000-0000-000025020000}"/>
    <cellStyle name="sCurrency 3 3" xfId="202" xr:uid="{00000000-0005-0000-0000-000026020000}"/>
    <cellStyle name="sCurrency 4" xfId="132" xr:uid="{00000000-0005-0000-0000-000027020000}"/>
    <cellStyle name="sCurrency 5" xfId="182" xr:uid="{00000000-0005-0000-0000-000028020000}"/>
    <cellStyle name="sCurrency 6" xfId="660" xr:uid="{00000000-0005-0000-0000-000029020000}"/>
    <cellStyle name="sCurrency 6 2" xfId="751" xr:uid="{00000000-0005-0000-0000-00002A020000}"/>
    <cellStyle name="sCurrency 7" xfId="702" xr:uid="{00000000-0005-0000-0000-00002B020000}"/>
    <cellStyle name="sDate" xfId="51" xr:uid="{00000000-0005-0000-0000-00002C020000}"/>
    <cellStyle name="sDate 2" xfId="69" xr:uid="{00000000-0005-0000-0000-00002D020000}"/>
    <cellStyle name="sDate 2 2" xfId="683" xr:uid="{00000000-0005-0000-0000-00002E020000}"/>
    <cellStyle name="sDate 2 2 2" xfId="792" xr:uid="{00000000-0005-0000-0000-00002F020000}"/>
    <cellStyle name="sDate 2 3" xfId="724" xr:uid="{00000000-0005-0000-0000-000030020000}"/>
    <cellStyle name="sDate 3" xfId="90" xr:uid="{00000000-0005-0000-0000-000031020000}"/>
    <cellStyle name="sDate 3 2" xfId="240" xr:uid="{00000000-0005-0000-0000-000032020000}"/>
    <cellStyle name="sDate 3 2 2" xfId="762" xr:uid="{00000000-0005-0000-0000-000033020000}"/>
    <cellStyle name="sDate 3 3" xfId="207" xr:uid="{00000000-0005-0000-0000-000034020000}"/>
    <cellStyle name="sDate 4" xfId="137" xr:uid="{00000000-0005-0000-0000-000035020000}"/>
    <cellStyle name="sDate 5" xfId="187" xr:uid="{00000000-0005-0000-0000-000036020000}"/>
    <cellStyle name="sDate 6" xfId="665" xr:uid="{00000000-0005-0000-0000-000037020000}"/>
    <cellStyle name="sDate 6 2" xfId="781" xr:uid="{00000000-0005-0000-0000-000038020000}"/>
    <cellStyle name="sDate 7" xfId="707" xr:uid="{00000000-0005-0000-0000-000039020000}"/>
    <cellStyle name="sDecimal" xfId="44" xr:uid="{00000000-0005-0000-0000-00003A020000}"/>
    <cellStyle name="sDecimal 2" xfId="68" xr:uid="{00000000-0005-0000-0000-00003B020000}"/>
    <cellStyle name="sDecimal 2 2" xfId="676" xr:uid="{00000000-0005-0000-0000-00003C020000}"/>
    <cellStyle name="sDecimal 2 2 2" xfId="779" xr:uid="{00000000-0005-0000-0000-00003D020000}"/>
    <cellStyle name="sDecimal 2 3" xfId="723" xr:uid="{00000000-0005-0000-0000-00003E020000}"/>
    <cellStyle name="sDecimal 3" xfId="84" xr:uid="{00000000-0005-0000-0000-00003F020000}"/>
    <cellStyle name="sDecimal 3 2" xfId="234" xr:uid="{00000000-0005-0000-0000-000040020000}"/>
    <cellStyle name="sDecimal 3 2 2" xfId="756" xr:uid="{00000000-0005-0000-0000-000041020000}"/>
    <cellStyle name="sDecimal 3 3" xfId="201" xr:uid="{00000000-0005-0000-0000-000042020000}"/>
    <cellStyle name="sDecimal 4" xfId="131" xr:uid="{00000000-0005-0000-0000-000043020000}"/>
    <cellStyle name="sDecimal 5" xfId="180" xr:uid="{00000000-0005-0000-0000-000044020000}"/>
    <cellStyle name="sDecimal 6" xfId="658" xr:uid="{00000000-0005-0000-0000-000045020000}"/>
    <cellStyle name="sDecimal 6 2" xfId="775" xr:uid="{00000000-0005-0000-0000-000046020000}"/>
    <cellStyle name="sDecimal 7" xfId="700" xr:uid="{00000000-0005-0000-0000-000047020000}"/>
    <cellStyle name="sInteger" xfId="45" xr:uid="{00000000-0005-0000-0000-000048020000}"/>
    <cellStyle name="sInteger 2" xfId="63" xr:uid="{00000000-0005-0000-0000-000049020000}"/>
    <cellStyle name="sInteger 2 2" xfId="677" xr:uid="{00000000-0005-0000-0000-00004A020000}"/>
    <cellStyle name="sInteger 2 2 2" xfId="695" xr:uid="{00000000-0005-0000-0000-00004B020000}"/>
    <cellStyle name="sInteger 2 3" xfId="719" xr:uid="{00000000-0005-0000-0000-00004C020000}"/>
    <cellStyle name="sInteger 3" xfId="81" xr:uid="{00000000-0005-0000-0000-00004D020000}"/>
    <cellStyle name="sInteger 3 2" xfId="231" xr:uid="{00000000-0005-0000-0000-00004E020000}"/>
    <cellStyle name="sInteger 3 2 2" xfId="753" xr:uid="{00000000-0005-0000-0000-00004F020000}"/>
    <cellStyle name="sInteger 3 3" xfId="198" xr:uid="{00000000-0005-0000-0000-000050020000}"/>
    <cellStyle name="sInteger 4" xfId="181" xr:uid="{00000000-0005-0000-0000-000051020000}"/>
    <cellStyle name="sInteger 5" xfId="659" xr:uid="{00000000-0005-0000-0000-000052020000}"/>
    <cellStyle name="sInteger 5 2" xfId="776" xr:uid="{00000000-0005-0000-0000-000053020000}"/>
    <cellStyle name="sInteger 6" xfId="701" xr:uid="{00000000-0005-0000-0000-000054020000}"/>
    <cellStyle name="sInteger_c" xfId="112" xr:uid="{00000000-0005-0000-0000-000055020000}"/>
    <cellStyle name="sLongDate" xfId="52" xr:uid="{00000000-0005-0000-0000-000056020000}"/>
    <cellStyle name="sLongDate 2" xfId="76" xr:uid="{00000000-0005-0000-0000-000057020000}"/>
    <cellStyle name="sLongDate 2 2" xfId="684" xr:uid="{00000000-0005-0000-0000-000058020000}"/>
    <cellStyle name="sLongDate 2 2 2" xfId="793" xr:uid="{00000000-0005-0000-0000-000059020000}"/>
    <cellStyle name="sLongDate 2 3" xfId="731" xr:uid="{00000000-0005-0000-0000-00005A020000}"/>
    <cellStyle name="sLongDate 3" xfId="91" xr:uid="{00000000-0005-0000-0000-00005B020000}"/>
    <cellStyle name="sLongDate 3 2" xfId="241" xr:uid="{00000000-0005-0000-0000-00005C020000}"/>
    <cellStyle name="sLongDate 3 2 2" xfId="763" xr:uid="{00000000-0005-0000-0000-00005D020000}"/>
    <cellStyle name="sLongDate 3 3" xfId="208" xr:uid="{00000000-0005-0000-0000-00005E020000}"/>
    <cellStyle name="sLongDate 4" xfId="138" xr:uid="{00000000-0005-0000-0000-00005F020000}"/>
    <cellStyle name="sLongDate 5" xfId="188" xr:uid="{00000000-0005-0000-0000-000060020000}"/>
    <cellStyle name="sLongDate 6" xfId="666" xr:uid="{00000000-0005-0000-0000-000061020000}"/>
    <cellStyle name="sLongDate 6 2" xfId="693" xr:uid="{00000000-0005-0000-0000-000062020000}"/>
    <cellStyle name="sLongDate 7" xfId="708" xr:uid="{00000000-0005-0000-0000-000063020000}"/>
    <cellStyle name="sLongTime" xfId="54" xr:uid="{00000000-0005-0000-0000-000064020000}"/>
    <cellStyle name="sLongTime 2" xfId="70" xr:uid="{00000000-0005-0000-0000-000065020000}"/>
    <cellStyle name="sLongTime 2 2" xfId="686" xr:uid="{00000000-0005-0000-0000-000066020000}"/>
    <cellStyle name="sLongTime 2 2 2" xfId="795" xr:uid="{00000000-0005-0000-0000-000067020000}"/>
    <cellStyle name="sLongTime 2 3" xfId="725" xr:uid="{00000000-0005-0000-0000-000068020000}"/>
    <cellStyle name="sLongTime 3" xfId="93" xr:uid="{00000000-0005-0000-0000-000069020000}"/>
    <cellStyle name="sLongTime 3 2" xfId="243" xr:uid="{00000000-0005-0000-0000-00006A020000}"/>
    <cellStyle name="sLongTime 3 2 2" xfId="765" xr:uid="{00000000-0005-0000-0000-00006B020000}"/>
    <cellStyle name="sLongTime 3 3" xfId="210" xr:uid="{00000000-0005-0000-0000-00006C020000}"/>
    <cellStyle name="sLongTime 4" xfId="140" xr:uid="{00000000-0005-0000-0000-00006D020000}"/>
    <cellStyle name="sLongTime 5" xfId="190" xr:uid="{00000000-0005-0000-0000-00006E020000}"/>
    <cellStyle name="sLongTime 6" xfId="668" xr:uid="{00000000-0005-0000-0000-00006F020000}"/>
    <cellStyle name="sLongTime 6 2" xfId="749" xr:uid="{00000000-0005-0000-0000-000070020000}"/>
    <cellStyle name="sLongTime 7" xfId="710" xr:uid="{00000000-0005-0000-0000-000071020000}"/>
    <cellStyle name="sMediumDate" xfId="53" xr:uid="{00000000-0005-0000-0000-000072020000}"/>
    <cellStyle name="sMediumDate 2" xfId="62" xr:uid="{00000000-0005-0000-0000-000073020000}"/>
    <cellStyle name="sMediumDate 2 2" xfId="685" xr:uid="{00000000-0005-0000-0000-000074020000}"/>
    <cellStyle name="sMediumDate 2 2 2" xfId="794" xr:uid="{00000000-0005-0000-0000-000075020000}"/>
    <cellStyle name="sMediumDate 2 3" xfId="718" xr:uid="{00000000-0005-0000-0000-000076020000}"/>
    <cellStyle name="sMediumDate 3" xfId="92" xr:uid="{00000000-0005-0000-0000-000077020000}"/>
    <cellStyle name="sMediumDate 3 2" xfId="242" xr:uid="{00000000-0005-0000-0000-000078020000}"/>
    <cellStyle name="sMediumDate 3 2 2" xfId="764" xr:uid="{00000000-0005-0000-0000-000079020000}"/>
    <cellStyle name="sMediumDate 3 3" xfId="209" xr:uid="{00000000-0005-0000-0000-00007A020000}"/>
    <cellStyle name="sMediumDate 4" xfId="139" xr:uid="{00000000-0005-0000-0000-00007B020000}"/>
    <cellStyle name="sMediumDate 5" xfId="189" xr:uid="{00000000-0005-0000-0000-00007C020000}"/>
    <cellStyle name="sMediumDate 6" xfId="667" xr:uid="{00000000-0005-0000-0000-00007D020000}"/>
    <cellStyle name="sMediumDate 6 2" xfId="696" xr:uid="{00000000-0005-0000-0000-00007E020000}"/>
    <cellStyle name="sMediumDate 7" xfId="709" xr:uid="{00000000-0005-0000-0000-00007F020000}"/>
    <cellStyle name="sMediumTime" xfId="55" xr:uid="{00000000-0005-0000-0000-000080020000}"/>
    <cellStyle name="sMediumTime 2" xfId="65" xr:uid="{00000000-0005-0000-0000-000081020000}"/>
    <cellStyle name="sMediumTime 2 2" xfId="687" xr:uid="{00000000-0005-0000-0000-000082020000}"/>
    <cellStyle name="sMediumTime 2 2 2" xfId="796" xr:uid="{00000000-0005-0000-0000-000083020000}"/>
    <cellStyle name="sMediumTime 2 3" xfId="720" xr:uid="{00000000-0005-0000-0000-000084020000}"/>
    <cellStyle name="sMediumTime 3" xfId="94" xr:uid="{00000000-0005-0000-0000-000085020000}"/>
    <cellStyle name="sMediumTime 3 2" xfId="244" xr:uid="{00000000-0005-0000-0000-000086020000}"/>
    <cellStyle name="sMediumTime 3 2 2" xfId="766" xr:uid="{00000000-0005-0000-0000-000087020000}"/>
    <cellStyle name="sMediumTime 3 3" xfId="211" xr:uid="{00000000-0005-0000-0000-000088020000}"/>
    <cellStyle name="sMediumTime 4" xfId="141" xr:uid="{00000000-0005-0000-0000-000089020000}"/>
    <cellStyle name="sMediumTime 5" xfId="191" xr:uid="{00000000-0005-0000-0000-00008A020000}"/>
    <cellStyle name="sMediumTime 6" xfId="669" xr:uid="{00000000-0005-0000-0000-00008B020000}"/>
    <cellStyle name="sMediumTime 6 2" xfId="694" xr:uid="{00000000-0005-0000-0000-00008C020000}"/>
    <cellStyle name="sMediumTime 7" xfId="711" xr:uid="{00000000-0005-0000-0000-00008D020000}"/>
    <cellStyle name="sNumber" xfId="42" xr:uid="{00000000-0005-0000-0000-00008E020000}"/>
    <cellStyle name="sNumber 2" xfId="75" xr:uid="{00000000-0005-0000-0000-00008F020000}"/>
    <cellStyle name="sNumber 2 2" xfId="675" xr:uid="{00000000-0005-0000-0000-000090020000}"/>
    <cellStyle name="sNumber 2 2 2" xfId="772" xr:uid="{00000000-0005-0000-0000-000091020000}"/>
    <cellStyle name="sNumber 2 3" xfId="730" xr:uid="{00000000-0005-0000-0000-000092020000}"/>
    <cellStyle name="sNumber 3" xfId="83" xr:uid="{00000000-0005-0000-0000-000093020000}"/>
    <cellStyle name="sNumber 3 2" xfId="233" xr:uid="{00000000-0005-0000-0000-000094020000}"/>
    <cellStyle name="sNumber 3 2 2" xfId="755" xr:uid="{00000000-0005-0000-0000-000095020000}"/>
    <cellStyle name="sNumber 3 3" xfId="200" xr:uid="{00000000-0005-0000-0000-000096020000}"/>
    <cellStyle name="sNumber 4" xfId="130" xr:uid="{00000000-0005-0000-0000-000097020000}"/>
    <cellStyle name="sNumber 5" xfId="179" xr:uid="{00000000-0005-0000-0000-000098020000}"/>
    <cellStyle name="sNumber 6" xfId="657" xr:uid="{00000000-0005-0000-0000-000099020000}"/>
    <cellStyle name="sNumber 6 2" xfId="773" xr:uid="{00000000-0005-0000-0000-00009A020000}"/>
    <cellStyle name="sNumber 7" xfId="698" xr:uid="{00000000-0005-0000-0000-00009B020000}"/>
    <cellStyle name="sNumber_c" xfId="159" xr:uid="{00000000-0005-0000-0000-00009C020000}"/>
    <cellStyle name="sPercent" xfId="47" xr:uid="{00000000-0005-0000-0000-00009D020000}"/>
    <cellStyle name="sPercent 2" xfId="72" xr:uid="{00000000-0005-0000-0000-00009E020000}"/>
    <cellStyle name="sPercent 2 2" xfId="679" xr:uid="{00000000-0005-0000-0000-00009F020000}"/>
    <cellStyle name="sPercent 2 2 2" xfId="788" xr:uid="{00000000-0005-0000-0000-0000A0020000}"/>
    <cellStyle name="sPercent 2 3" xfId="727" xr:uid="{00000000-0005-0000-0000-0000A1020000}"/>
    <cellStyle name="sPercent 3" xfId="86" xr:uid="{00000000-0005-0000-0000-0000A2020000}"/>
    <cellStyle name="sPercent 3 2" xfId="236" xr:uid="{00000000-0005-0000-0000-0000A3020000}"/>
    <cellStyle name="sPercent 3 2 2" xfId="758" xr:uid="{00000000-0005-0000-0000-0000A4020000}"/>
    <cellStyle name="sPercent 3 3" xfId="203" xr:uid="{00000000-0005-0000-0000-0000A5020000}"/>
    <cellStyle name="sPercent 4" xfId="133" xr:uid="{00000000-0005-0000-0000-0000A6020000}"/>
    <cellStyle name="sPercent 5" xfId="183" xr:uid="{00000000-0005-0000-0000-0000A7020000}"/>
    <cellStyle name="sPercent 6" xfId="661" xr:uid="{00000000-0005-0000-0000-0000A8020000}"/>
    <cellStyle name="sPercent 6 2" xfId="778" xr:uid="{00000000-0005-0000-0000-0000A9020000}"/>
    <cellStyle name="sPercent 7" xfId="703" xr:uid="{00000000-0005-0000-0000-0000AA020000}"/>
    <cellStyle name="sPhone" xfId="58" xr:uid="{00000000-0005-0000-0000-0000AB020000}"/>
    <cellStyle name="sPhone 2" xfId="77" xr:uid="{00000000-0005-0000-0000-0000AC020000}"/>
    <cellStyle name="sPhone 2 2" xfId="690" xr:uid="{00000000-0005-0000-0000-0000AD020000}"/>
    <cellStyle name="sPhone 2 2 2" xfId="799" xr:uid="{00000000-0005-0000-0000-0000AE020000}"/>
    <cellStyle name="sPhone 2 3" xfId="732" xr:uid="{00000000-0005-0000-0000-0000AF020000}"/>
    <cellStyle name="sPhone 3" xfId="96" xr:uid="{00000000-0005-0000-0000-0000B0020000}"/>
    <cellStyle name="sPhone 3 2" xfId="246" xr:uid="{00000000-0005-0000-0000-0000B1020000}"/>
    <cellStyle name="sPhone 3 2 2" xfId="768" xr:uid="{00000000-0005-0000-0000-0000B2020000}"/>
    <cellStyle name="sPhone 3 3" xfId="213" xr:uid="{00000000-0005-0000-0000-0000B3020000}"/>
    <cellStyle name="sPhone 4" xfId="143" xr:uid="{00000000-0005-0000-0000-0000B4020000}"/>
    <cellStyle name="sPhone 5" xfId="194" xr:uid="{00000000-0005-0000-0000-0000B5020000}"/>
    <cellStyle name="sPhone 6" xfId="672" xr:uid="{00000000-0005-0000-0000-0000B6020000}"/>
    <cellStyle name="sPhone 6 2" xfId="735" xr:uid="{00000000-0005-0000-0000-0000B7020000}"/>
    <cellStyle name="sPhone 7" xfId="714" xr:uid="{00000000-0005-0000-0000-0000B8020000}"/>
    <cellStyle name="sPhoneExt" xfId="59" xr:uid="{00000000-0005-0000-0000-0000B9020000}"/>
    <cellStyle name="sPhoneExt 2" xfId="78" xr:uid="{00000000-0005-0000-0000-0000BA020000}"/>
    <cellStyle name="sPhoneExt 2 2" xfId="691" xr:uid="{00000000-0005-0000-0000-0000BB020000}"/>
    <cellStyle name="sPhoneExt 2 2 2" xfId="800" xr:uid="{00000000-0005-0000-0000-0000BC020000}"/>
    <cellStyle name="sPhoneExt 2 3" xfId="733" xr:uid="{00000000-0005-0000-0000-0000BD020000}"/>
    <cellStyle name="sPhoneExt 3" xfId="97" xr:uid="{00000000-0005-0000-0000-0000BE020000}"/>
    <cellStyle name="sPhoneExt 3 2" xfId="247" xr:uid="{00000000-0005-0000-0000-0000BF020000}"/>
    <cellStyle name="sPhoneExt 3 2 2" xfId="769" xr:uid="{00000000-0005-0000-0000-0000C0020000}"/>
    <cellStyle name="sPhoneExt 3 3" xfId="214" xr:uid="{00000000-0005-0000-0000-0000C1020000}"/>
    <cellStyle name="sPhoneExt 4" xfId="144" xr:uid="{00000000-0005-0000-0000-0000C2020000}"/>
    <cellStyle name="sPhoneExt 5" xfId="195" xr:uid="{00000000-0005-0000-0000-0000C3020000}"/>
    <cellStyle name="sPhoneExt 6" xfId="673" xr:uid="{00000000-0005-0000-0000-0000C4020000}"/>
    <cellStyle name="sPhoneExt 6 2" xfId="786" xr:uid="{00000000-0005-0000-0000-0000C5020000}"/>
    <cellStyle name="sPhoneExt 7" xfId="715" xr:uid="{00000000-0005-0000-0000-0000C6020000}"/>
    <cellStyle name="sPhoneExt_c" xfId="163" xr:uid="{00000000-0005-0000-0000-0000C7020000}"/>
    <cellStyle name="sRichText" xfId="57" xr:uid="{00000000-0005-0000-0000-0000C8020000}"/>
    <cellStyle name="sRichText 2" xfId="73" xr:uid="{00000000-0005-0000-0000-0000C9020000}"/>
    <cellStyle name="sRichText 2 2" xfId="689" xr:uid="{00000000-0005-0000-0000-0000CA020000}"/>
    <cellStyle name="sRichText 2 2 2" xfId="798" xr:uid="{00000000-0005-0000-0000-0000CB020000}"/>
    <cellStyle name="sRichText 2 3" xfId="728" xr:uid="{00000000-0005-0000-0000-0000CC020000}"/>
    <cellStyle name="sRichText 3" xfId="95" xr:uid="{00000000-0005-0000-0000-0000CD020000}"/>
    <cellStyle name="sRichText 3 2" xfId="245" xr:uid="{00000000-0005-0000-0000-0000CE020000}"/>
    <cellStyle name="sRichText 3 2 2" xfId="767" xr:uid="{00000000-0005-0000-0000-0000CF020000}"/>
    <cellStyle name="sRichText 3 3" xfId="212" xr:uid="{00000000-0005-0000-0000-0000D0020000}"/>
    <cellStyle name="sRichText 4" xfId="142" xr:uid="{00000000-0005-0000-0000-0000D1020000}"/>
    <cellStyle name="sRichText 5" xfId="193" xr:uid="{00000000-0005-0000-0000-0000D2020000}"/>
    <cellStyle name="sRichText 6" xfId="671" xr:uid="{00000000-0005-0000-0000-0000D3020000}"/>
    <cellStyle name="sRichText 6 2" xfId="750" xr:uid="{00000000-0005-0000-0000-0000D4020000}"/>
    <cellStyle name="sRichText 7" xfId="713" xr:uid="{00000000-0005-0000-0000-0000D5020000}"/>
    <cellStyle name="sRichText_c" xfId="162" xr:uid="{00000000-0005-0000-0000-0000D6020000}"/>
    <cellStyle name="sShortDate" xfId="49" xr:uid="{00000000-0005-0000-0000-0000D7020000}"/>
    <cellStyle name="sShortDate 2" xfId="66" xr:uid="{00000000-0005-0000-0000-0000D8020000}"/>
    <cellStyle name="sShortDate 2 2" xfId="681" xr:uid="{00000000-0005-0000-0000-0000D9020000}"/>
    <cellStyle name="sShortDate 2 2 2" xfId="790" xr:uid="{00000000-0005-0000-0000-0000DA020000}"/>
    <cellStyle name="sShortDate 2 3" xfId="721" xr:uid="{00000000-0005-0000-0000-0000DB020000}"/>
    <cellStyle name="sShortDate 3" xfId="88" xr:uid="{00000000-0005-0000-0000-0000DC020000}"/>
    <cellStyle name="sShortDate 3 2" xfId="238" xr:uid="{00000000-0005-0000-0000-0000DD020000}"/>
    <cellStyle name="sShortDate 3 2 2" xfId="760" xr:uid="{00000000-0005-0000-0000-0000DE020000}"/>
    <cellStyle name="sShortDate 3 3" xfId="205" xr:uid="{00000000-0005-0000-0000-0000DF020000}"/>
    <cellStyle name="sShortDate 4" xfId="135" xr:uid="{00000000-0005-0000-0000-0000E0020000}"/>
    <cellStyle name="sShortDate 5" xfId="185" xr:uid="{00000000-0005-0000-0000-0000E1020000}"/>
    <cellStyle name="sShortDate 6" xfId="663" xr:uid="{00000000-0005-0000-0000-0000E2020000}"/>
    <cellStyle name="sShortDate 6 2" xfId="777" xr:uid="{00000000-0005-0000-0000-0000E3020000}"/>
    <cellStyle name="sShortDate 7" xfId="705" xr:uid="{00000000-0005-0000-0000-0000E4020000}"/>
    <cellStyle name="sShortDate_c" xfId="160" xr:uid="{00000000-0005-0000-0000-0000E5020000}"/>
    <cellStyle name="sShortTime" xfId="50" xr:uid="{00000000-0005-0000-0000-0000E6020000}"/>
    <cellStyle name="sShortTime 2" xfId="61" xr:uid="{00000000-0005-0000-0000-0000E7020000}"/>
    <cellStyle name="sShortTime 2 2" xfId="682" xr:uid="{00000000-0005-0000-0000-0000E8020000}"/>
    <cellStyle name="sShortTime 2 2 2" xfId="791" xr:uid="{00000000-0005-0000-0000-0000E9020000}"/>
    <cellStyle name="sShortTime 2 3" xfId="717" xr:uid="{00000000-0005-0000-0000-0000EA020000}"/>
    <cellStyle name="sShortTime 3" xfId="89" xr:uid="{00000000-0005-0000-0000-0000EB020000}"/>
    <cellStyle name="sShortTime 3 2" xfId="239" xr:uid="{00000000-0005-0000-0000-0000EC020000}"/>
    <cellStyle name="sShortTime 3 2 2" xfId="761" xr:uid="{00000000-0005-0000-0000-0000ED020000}"/>
    <cellStyle name="sShortTime 3 3" xfId="206" xr:uid="{00000000-0005-0000-0000-0000EE020000}"/>
    <cellStyle name="sShortTime 4" xfId="136" xr:uid="{00000000-0005-0000-0000-0000EF020000}"/>
    <cellStyle name="sShortTime 5" xfId="186" xr:uid="{00000000-0005-0000-0000-0000F0020000}"/>
    <cellStyle name="sShortTime 6" xfId="664" xr:uid="{00000000-0005-0000-0000-0000F1020000}"/>
    <cellStyle name="sShortTime 6 2" xfId="785" xr:uid="{00000000-0005-0000-0000-0000F2020000}"/>
    <cellStyle name="sShortTime 7" xfId="706" xr:uid="{00000000-0005-0000-0000-0000F3020000}"/>
    <cellStyle name="sShortTime_c" xfId="161" xr:uid="{00000000-0005-0000-0000-0000F4020000}"/>
    <cellStyle name="sStandard" xfId="48" xr:uid="{00000000-0005-0000-0000-0000F5020000}"/>
    <cellStyle name="sStandard 2" xfId="67" xr:uid="{00000000-0005-0000-0000-0000F6020000}"/>
    <cellStyle name="sStandard 2 2" xfId="680" xr:uid="{00000000-0005-0000-0000-0000F7020000}"/>
    <cellStyle name="sStandard 2 2 2" xfId="789" xr:uid="{00000000-0005-0000-0000-0000F8020000}"/>
    <cellStyle name="sStandard 2 3" xfId="722" xr:uid="{00000000-0005-0000-0000-0000F9020000}"/>
    <cellStyle name="sStandard 3" xfId="87" xr:uid="{00000000-0005-0000-0000-0000FA020000}"/>
    <cellStyle name="sStandard 3 2" xfId="237" xr:uid="{00000000-0005-0000-0000-0000FB020000}"/>
    <cellStyle name="sStandard 3 2 2" xfId="759" xr:uid="{00000000-0005-0000-0000-0000FC020000}"/>
    <cellStyle name="sStandard 3 3" xfId="204" xr:uid="{00000000-0005-0000-0000-0000FD020000}"/>
    <cellStyle name="sStandard 4" xfId="134" xr:uid="{00000000-0005-0000-0000-0000FE020000}"/>
    <cellStyle name="sStandard 5" xfId="184" xr:uid="{00000000-0005-0000-0000-0000FF020000}"/>
    <cellStyle name="sStandard 6" xfId="662" xr:uid="{00000000-0005-0000-0000-000000030000}"/>
    <cellStyle name="sStandard 6 2" xfId="774" xr:uid="{00000000-0005-0000-0000-000001030000}"/>
    <cellStyle name="sStandard 7" xfId="704" xr:uid="{00000000-0005-0000-0000-000002030000}"/>
    <cellStyle name="sText" xfId="56" xr:uid="{00000000-0005-0000-0000-000003030000}"/>
    <cellStyle name="sText 2" xfId="71" xr:uid="{00000000-0005-0000-0000-000004030000}"/>
    <cellStyle name="sText 2 2" xfId="688" xr:uid="{00000000-0005-0000-0000-000005030000}"/>
    <cellStyle name="sText 2 2 2" xfId="797" xr:uid="{00000000-0005-0000-0000-000006030000}"/>
    <cellStyle name="sText 2 3" xfId="726" xr:uid="{00000000-0005-0000-0000-000007030000}"/>
    <cellStyle name="sText 3" xfId="82" xr:uid="{00000000-0005-0000-0000-000008030000}"/>
    <cellStyle name="sText 3 2" xfId="232" xr:uid="{00000000-0005-0000-0000-000009030000}"/>
    <cellStyle name="sText 3 2 2" xfId="754" xr:uid="{00000000-0005-0000-0000-00000A030000}"/>
    <cellStyle name="sText 3 3" xfId="199" xr:uid="{00000000-0005-0000-0000-00000B030000}"/>
    <cellStyle name="sText 4" xfId="192" xr:uid="{00000000-0005-0000-0000-00000C030000}"/>
    <cellStyle name="sText 5" xfId="670" xr:uid="{00000000-0005-0000-0000-00000D030000}"/>
    <cellStyle name="sText 5 2" xfId="782" xr:uid="{00000000-0005-0000-0000-00000E030000}"/>
    <cellStyle name="sText 6" xfId="712" xr:uid="{00000000-0005-0000-0000-00000F030000}"/>
    <cellStyle name="sText_c" xfId="113" xr:uid="{00000000-0005-0000-0000-000010030000}"/>
    <cellStyle name="sZip" xfId="60" xr:uid="{00000000-0005-0000-0000-000011030000}"/>
    <cellStyle name="sZip 2" xfId="79" xr:uid="{00000000-0005-0000-0000-000012030000}"/>
    <cellStyle name="sZip 2 2" xfId="692" xr:uid="{00000000-0005-0000-0000-000013030000}"/>
    <cellStyle name="sZip 2 2 2" xfId="801" xr:uid="{00000000-0005-0000-0000-000014030000}"/>
    <cellStyle name="sZip 2 3" xfId="734" xr:uid="{00000000-0005-0000-0000-000015030000}"/>
    <cellStyle name="sZip 3" xfId="98" xr:uid="{00000000-0005-0000-0000-000016030000}"/>
    <cellStyle name="sZip 3 2" xfId="248" xr:uid="{00000000-0005-0000-0000-000017030000}"/>
    <cellStyle name="sZip 3 2 2" xfId="770" xr:uid="{00000000-0005-0000-0000-000018030000}"/>
    <cellStyle name="sZip 3 3" xfId="215" xr:uid="{00000000-0005-0000-0000-000019030000}"/>
    <cellStyle name="sZip 4" xfId="145" xr:uid="{00000000-0005-0000-0000-00001A030000}"/>
    <cellStyle name="sZip 5" xfId="196" xr:uid="{00000000-0005-0000-0000-00001B030000}"/>
    <cellStyle name="sZip 6" xfId="674" xr:uid="{00000000-0005-0000-0000-00001C030000}"/>
    <cellStyle name="sZip 6 2" xfId="783" xr:uid="{00000000-0005-0000-0000-00001D030000}"/>
    <cellStyle name="sZip 7" xfId="716" xr:uid="{00000000-0005-0000-0000-00001E030000}"/>
    <cellStyle name="sZip_c" xfId="164" xr:uid="{00000000-0005-0000-0000-00001F03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C616-003E-478C-BC05-FFD20863904F}">
  <dimension ref="A1:AQ182"/>
  <sheetViews>
    <sheetView zoomScaleNormal="100" workbookViewId="0">
      <pane ySplit="19" topLeftCell="A20" activePane="bottomLeft" state="frozen"/>
      <selection pane="bottomLeft" activeCell="F24" sqref="F24"/>
    </sheetView>
  </sheetViews>
  <sheetFormatPr defaultRowHeight="15" x14ac:dyDescent="0.25"/>
  <cols>
    <col min="1" max="1" width="14.7109375" style="4" customWidth="1"/>
    <col min="2" max="2" width="32.7109375" style="4" bestFit="1" customWidth="1"/>
    <col min="3" max="3" width="46.5703125" style="151" bestFit="1" customWidth="1"/>
    <col min="4" max="4" width="14.7109375" style="4" bestFit="1" customWidth="1"/>
    <col min="5" max="5" width="9.42578125" style="4" bestFit="1" customWidth="1"/>
    <col min="6" max="6" width="10.85546875" style="4" bestFit="1" customWidth="1"/>
    <col min="7" max="7" width="21.42578125" style="4" bestFit="1" customWidth="1"/>
    <col min="8" max="8" width="39.5703125" style="4" bestFit="1" customWidth="1"/>
    <col min="9" max="9" width="12.7109375" style="4" customWidth="1"/>
    <col min="10" max="10" width="10.7109375" style="4" bestFit="1" customWidth="1"/>
    <col min="11" max="11" width="11.28515625" style="4" bestFit="1" customWidth="1"/>
    <col min="12" max="16384" width="9.140625" style="4"/>
  </cols>
  <sheetData>
    <row r="1" spans="1:8" s="224" customFormat="1" ht="15.75" x14ac:dyDescent="0.25">
      <c r="A1" s="2" t="s">
        <v>354</v>
      </c>
      <c r="B1" s="3"/>
      <c r="C1" s="3"/>
      <c r="D1" s="3"/>
      <c r="E1" s="3"/>
      <c r="F1" s="3"/>
      <c r="G1" s="3"/>
      <c r="H1" s="3"/>
    </row>
    <row r="2" spans="1:8" s="224" customFormat="1" ht="15.75" x14ac:dyDescent="0.25">
      <c r="A2" s="2" t="s">
        <v>3</v>
      </c>
      <c r="C2" s="3"/>
      <c r="D2" s="3"/>
      <c r="E2" s="3"/>
      <c r="F2" s="3"/>
      <c r="G2" s="3"/>
      <c r="H2" s="3"/>
    </row>
    <row r="3" spans="1:8" s="5" customFormat="1" x14ac:dyDescent="0.25">
      <c r="A3" s="4"/>
      <c r="B3" s="3" t="s">
        <v>227</v>
      </c>
      <c r="C3" s="4"/>
      <c r="D3" s="4"/>
      <c r="E3" s="4"/>
      <c r="F3" s="4"/>
      <c r="G3" s="4"/>
      <c r="H3" s="4"/>
    </row>
    <row r="4" spans="1:8" s="5" customFormat="1" x14ac:dyDescent="0.25">
      <c r="A4" s="4"/>
      <c r="B4" s="4"/>
      <c r="C4" s="4"/>
      <c r="D4" s="4"/>
      <c r="E4" s="4"/>
      <c r="F4" s="4"/>
      <c r="G4" s="4"/>
      <c r="H4" s="4"/>
    </row>
    <row r="5" spans="1:8" s="228" customFormat="1" x14ac:dyDescent="0.25">
      <c r="A5" s="14" t="s">
        <v>4</v>
      </c>
      <c r="B5" s="225"/>
      <c r="C5" s="226"/>
      <c r="D5" s="227" t="s">
        <v>5</v>
      </c>
      <c r="E5" s="21"/>
      <c r="F5" s="22"/>
      <c r="G5" s="1"/>
    </row>
    <row r="6" spans="1:8" s="228" customFormat="1" ht="12.75" x14ac:dyDescent="0.2">
      <c r="A6" s="1"/>
      <c r="B6" s="225"/>
      <c r="C6" s="229" t="s">
        <v>6</v>
      </c>
      <c r="D6" s="230" t="s">
        <v>7</v>
      </c>
      <c r="E6" s="230" t="s">
        <v>8</v>
      </c>
      <c r="F6" s="230" t="s">
        <v>9</v>
      </c>
      <c r="G6" s="1"/>
    </row>
    <row r="7" spans="1:8" s="228" customFormat="1" x14ac:dyDescent="0.25">
      <c r="A7" s="1"/>
      <c r="B7" s="225"/>
      <c r="C7" s="34" t="s">
        <v>290</v>
      </c>
      <c r="D7" s="231">
        <v>12783</v>
      </c>
      <c r="E7" s="232">
        <v>608.70000000000005</v>
      </c>
      <c r="F7" s="232">
        <v>405</v>
      </c>
      <c r="G7" s="1"/>
    </row>
    <row r="8" spans="1:8" s="228" customFormat="1" x14ac:dyDescent="0.25">
      <c r="A8" s="1"/>
      <c r="B8" s="225"/>
      <c r="C8" s="34" t="s">
        <v>668</v>
      </c>
      <c r="D8" s="231">
        <v>1057</v>
      </c>
      <c r="E8" s="232">
        <v>176.2</v>
      </c>
      <c r="F8" s="232">
        <v>188</v>
      </c>
      <c r="G8" s="1"/>
    </row>
    <row r="9" spans="1:8" s="228" customFormat="1" x14ac:dyDescent="0.25">
      <c r="A9" s="1"/>
      <c r="B9" s="225"/>
      <c r="C9" s="34" t="s">
        <v>669</v>
      </c>
      <c r="D9" s="231">
        <v>529</v>
      </c>
      <c r="E9" s="232">
        <v>132.30000000000001</v>
      </c>
      <c r="F9" s="232">
        <v>128.5</v>
      </c>
      <c r="G9" s="1"/>
    </row>
    <row r="10" spans="1:8" s="228" customFormat="1" x14ac:dyDescent="0.25">
      <c r="A10" s="1"/>
      <c r="B10" s="225"/>
      <c r="C10" s="34" t="s">
        <v>673</v>
      </c>
      <c r="D10" s="231">
        <v>8157</v>
      </c>
      <c r="E10" s="232">
        <v>582.6</v>
      </c>
      <c r="F10" s="232">
        <v>707.5</v>
      </c>
      <c r="G10" s="1"/>
    </row>
    <row r="11" spans="1:8" s="228" customFormat="1" x14ac:dyDescent="0.25">
      <c r="A11" s="1"/>
      <c r="B11" s="225"/>
      <c r="C11" s="34" t="s">
        <v>671</v>
      </c>
      <c r="D11" s="231">
        <v>2226</v>
      </c>
      <c r="E11" s="232">
        <v>265.5</v>
      </c>
      <c r="F11" s="232">
        <v>239</v>
      </c>
      <c r="G11" s="1"/>
    </row>
    <row r="12" spans="1:8" s="228" customFormat="1" x14ac:dyDescent="0.25">
      <c r="A12" s="1"/>
      <c r="B12" s="4"/>
      <c r="C12" s="34" t="s">
        <v>672</v>
      </c>
      <c r="D12" s="231">
        <v>15601</v>
      </c>
      <c r="E12" s="232">
        <v>251.6</v>
      </c>
      <c r="F12" s="232">
        <v>288.5</v>
      </c>
      <c r="G12" s="1"/>
    </row>
    <row r="13" spans="1:8" s="228" customFormat="1" ht="12.75" x14ac:dyDescent="0.2">
      <c r="A13" s="1"/>
      <c r="B13" s="225"/>
      <c r="C13" s="43" t="s">
        <v>674</v>
      </c>
      <c r="D13" s="233">
        <f>SUM(D7:D12)</f>
        <v>40353</v>
      </c>
      <c r="E13" s="234">
        <f>AVERAGE(E7:E12)</f>
        <v>336.15000000000003</v>
      </c>
      <c r="F13" s="235">
        <f>MEDIAN(F7:F12)</f>
        <v>263.75</v>
      </c>
      <c r="G13" s="1"/>
    </row>
    <row r="14" spans="1:8" s="228" customFormat="1" ht="12.75" x14ac:dyDescent="0.2">
      <c r="A14" s="1"/>
      <c r="B14" s="225"/>
      <c r="C14" s="1"/>
      <c r="D14" s="13"/>
      <c r="E14" s="1"/>
      <c r="F14" s="1"/>
      <c r="G14" s="1"/>
      <c r="H14" s="1"/>
    </row>
    <row r="15" spans="1:8" s="228" customFormat="1" ht="12.75" x14ac:dyDescent="0.2">
      <c r="A15" s="1"/>
      <c r="B15" s="225"/>
      <c r="C15" s="1"/>
      <c r="D15" s="1"/>
      <c r="E15" s="1"/>
      <c r="F15" s="1"/>
      <c r="G15" s="1"/>
      <c r="H15" s="1"/>
    </row>
    <row r="16" spans="1:8" s="228" customFormat="1" ht="12.75" x14ac:dyDescent="0.2">
      <c r="A16" s="14" t="s">
        <v>10</v>
      </c>
      <c r="B16" s="225"/>
      <c r="C16" s="1"/>
      <c r="D16" s="1"/>
      <c r="E16" s="1"/>
      <c r="F16" s="1"/>
      <c r="G16" s="1"/>
      <c r="H16" s="1"/>
    </row>
    <row r="17" spans="1:10" s="228" customFormat="1" ht="12.75" x14ac:dyDescent="0.2">
      <c r="A17" s="14"/>
      <c r="B17" s="225"/>
      <c r="C17" s="1"/>
      <c r="D17" s="1"/>
      <c r="E17" s="1"/>
      <c r="F17" s="1"/>
      <c r="G17" s="1"/>
      <c r="H17" s="1"/>
    </row>
    <row r="18" spans="1:10" s="228" customFormat="1" ht="15" customHeight="1" x14ac:dyDescent="0.25">
      <c r="A18" s="236"/>
      <c r="B18" s="237"/>
      <c r="C18" s="238"/>
      <c r="D18" s="238"/>
      <c r="E18" s="238"/>
      <c r="F18" s="238"/>
      <c r="G18" s="238"/>
      <c r="H18" s="238"/>
      <c r="I18" s="239" t="s">
        <v>16</v>
      </c>
      <c r="J18" s="240"/>
    </row>
    <row r="19" spans="1:10" s="245" customFormat="1" ht="39" customHeight="1" x14ac:dyDescent="0.2">
      <c r="A19" s="241" t="s">
        <v>11</v>
      </c>
      <c r="B19" s="242" t="s">
        <v>17</v>
      </c>
      <c r="C19" s="241" t="s">
        <v>12</v>
      </c>
      <c r="D19" s="241" t="s">
        <v>13</v>
      </c>
      <c r="E19" s="241" t="s">
        <v>2</v>
      </c>
      <c r="F19" s="243" t="s">
        <v>5</v>
      </c>
      <c r="G19" s="241" t="s">
        <v>14</v>
      </c>
      <c r="H19" s="241" t="s">
        <v>15</v>
      </c>
      <c r="I19" s="244" t="s">
        <v>18</v>
      </c>
      <c r="J19" s="244" t="s">
        <v>19</v>
      </c>
    </row>
    <row r="20" spans="1:10" s="5" customFormat="1" x14ac:dyDescent="0.25">
      <c r="A20" s="4"/>
      <c r="B20" s="4"/>
      <c r="C20" s="4"/>
      <c r="D20" s="4"/>
      <c r="E20" s="4"/>
      <c r="F20" s="4"/>
      <c r="G20" s="4"/>
      <c r="H20" s="4"/>
    </row>
    <row r="21" spans="1:10" s="249" customFormat="1" ht="12.75" x14ac:dyDescent="0.2">
      <c r="A21" s="154" t="s">
        <v>290</v>
      </c>
      <c r="B21" s="154"/>
      <c r="C21" s="246"/>
      <c r="D21" s="246"/>
      <c r="E21" s="246"/>
      <c r="F21" s="247"/>
      <c r="G21" s="246"/>
      <c r="H21" s="156"/>
      <c r="I21" s="156"/>
      <c r="J21" s="248"/>
    </row>
    <row r="22" spans="1:10" s="251" customFormat="1" x14ac:dyDescent="0.25">
      <c r="A22" s="154"/>
      <c r="B22" s="154"/>
      <c r="C22" s="246"/>
      <c r="D22" s="246"/>
      <c r="E22" s="246"/>
      <c r="F22" s="247"/>
      <c r="G22" s="246"/>
      <c r="H22" s="248"/>
      <c r="I22" s="250" t="s">
        <v>16</v>
      </c>
      <c r="J22" s="22"/>
    </row>
    <row r="23" spans="1:10" s="251" customFormat="1" ht="38.25" x14ac:dyDescent="0.2">
      <c r="A23" s="252" t="s">
        <v>11</v>
      </c>
      <c r="B23" s="253" t="s">
        <v>17</v>
      </c>
      <c r="C23" s="252" t="s">
        <v>12</v>
      </c>
      <c r="D23" s="252" t="s">
        <v>13</v>
      </c>
      <c r="E23" s="252" t="s">
        <v>2</v>
      </c>
      <c r="F23" s="254" t="s">
        <v>5</v>
      </c>
      <c r="G23" s="252" t="s">
        <v>14</v>
      </c>
      <c r="H23" s="252" t="s">
        <v>15</v>
      </c>
      <c r="I23" s="255" t="s">
        <v>18</v>
      </c>
      <c r="J23" s="255" t="s">
        <v>19</v>
      </c>
    </row>
    <row r="24" spans="1:10" x14ac:dyDescent="0.25">
      <c r="A24" s="170" t="s">
        <v>361</v>
      </c>
      <c r="B24" s="170" t="s">
        <v>367</v>
      </c>
      <c r="C24" s="170" t="s">
        <v>253</v>
      </c>
      <c r="D24" s="170" t="s">
        <v>160</v>
      </c>
      <c r="E24" s="171" t="s">
        <v>209</v>
      </c>
      <c r="F24" s="115">
        <v>1092</v>
      </c>
      <c r="G24" s="170" t="s">
        <v>254</v>
      </c>
      <c r="H24" s="170" t="s">
        <v>255</v>
      </c>
      <c r="I24" s="175" t="s">
        <v>227</v>
      </c>
      <c r="J24" s="175" t="s">
        <v>227</v>
      </c>
    </row>
    <row r="25" spans="1:10" x14ac:dyDescent="0.25">
      <c r="A25" s="170" t="s">
        <v>163</v>
      </c>
      <c r="B25" s="170" t="s">
        <v>368</v>
      </c>
      <c r="C25" s="170" t="s">
        <v>162</v>
      </c>
      <c r="D25" s="170" t="s">
        <v>292</v>
      </c>
      <c r="E25" s="171" t="s">
        <v>209</v>
      </c>
      <c r="F25" s="115">
        <v>220</v>
      </c>
      <c r="G25" s="170" t="s">
        <v>161</v>
      </c>
      <c r="H25" s="170" t="s">
        <v>240</v>
      </c>
      <c r="I25" s="175" t="s">
        <v>224</v>
      </c>
      <c r="J25" s="175" t="s">
        <v>224</v>
      </c>
    </row>
    <row r="26" spans="1:10" x14ac:dyDescent="0.25">
      <c r="A26" s="170" t="s">
        <v>156</v>
      </c>
      <c r="B26" s="170" t="s">
        <v>369</v>
      </c>
      <c r="C26" s="170" t="s">
        <v>236</v>
      </c>
      <c r="D26" s="170" t="s">
        <v>314</v>
      </c>
      <c r="E26" s="171" t="s">
        <v>209</v>
      </c>
      <c r="F26" s="115">
        <v>153</v>
      </c>
      <c r="G26" s="170" t="s">
        <v>154</v>
      </c>
      <c r="H26" s="170" t="s">
        <v>155</v>
      </c>
      <c r="I26" s="175" t="s">
        <v>227</v>
      </c>
      <c r="J26" s="175" t="s">
        <v>227</v>
      </c>
    </row>
    <row r="27" spans="1:10" x14ac:dyDescent="0.25">
      <c r="A27" s="170" t="s">
        <v>362</v>
      </c>
      <c r="B27" s="170" t="s">
        <v>370</v>
      </c>
      <c r="C27" s="170" t="s">
        <v>145</v>
      </c>
      <c r="D27" s="170" t="s">
        <v>146</v>
      </c>
      <c r="E27" s="171" t="s">
        <v>209</v>
      </c>
      <c r="F27" s="115">
        <v>1152</v>
      </c>
      <c r="G27" s="170" t="s">
        <v>239</v>
      </c>
      <c r="H27" s="170" t="s">
        <v>144</v>
      </c>
      <c r="I27" s="175" t="s">
        <v>227</v>
      </c>
      <c r="J27" s="175" t="s">
        <v>227</v>
      </c>
    </row>
    <row r="28" spans="1:10" x14ac:dyDescent="0.25">
      <c r="A28" s="170" t="s">
        <v>362</v>
      </c>
      <c r="B28" s="170" t="s">
        <v>371</v>
      </c>
      <c r="C28" s="170" t="s">
        <v>176</v>
      </c>
      <c r="D28" s="170" t="s">
        <v>146</v>
      </c>
      <c r="E28" s="171" t="s">
        <v>209</v>
      </c>
      <c r="F28" s="115">
        <v>147</v>
      </c>
      <c r="G28" s="170" t="s">
        <v>301</v>
      </c>
      <c r="H28" s="170" t="s">
        <v>302</v>
      </c>
      <c r="I28" s="175" t="s">
        <v>224</v>
      </c>
      <c r="J28" s="175" t="s">
        <v>227</v>
      </c>
    </row>
    <row r="29" spans="1:10" x14ac:dyDescent="0.25">
      <c r="A29" s="170" t="s">
        <v>363</v>
      </c>
      <c r="B29" s="170" t="s">
        <v>372</v>
      </c>
      <c r="C29" s="170" t="s">
        <v>355</v>
      </c>
      <c r="D29" s="170" t="s">
        <v>387</v>
      </c>
      <c r="E29" s="171" t="s">
        <v>209</v>
      </c>
      <c r="F29" s="115">
        <v>422</v>
      </c>
      <c r="G29" s="170" t="s">
        <v>389</v>
      </c>
      <c r="H29" s="170" t="s">
        <v>399</v>
      </c>
      <c r="I29" s="175" t="s">
        <v>227</v>
      </c>
      <c r="J29" s="175" t="s">
        <v>227</v>
      </c>
    </row>
    <row r="30" spans="1:10" x14ac:dyDescent="0.25">
      <c r="A30" s="170" t="s">
        <v>148</v>
      </c>
      <c r="B30" s="170" t="s">
        <v>373</v>
      </c>
      <c r="C30" s="170" t="s">
        <v>152</v>
      </c>
      <c r="D30" s="170" t="s">
        <v>147</v>
      </c>
      <c r="E30" s="171" t="s">
        <v>209</v>
      </c>
      <c r="F30" s="115">
        <v>1557</v>
      </c>
      <c r="G30" s="170" t="s">
        <v>151</v>
      </c>
      <c r="H30" s="170" t="s">
        <v>400</v>
      </c>
      <c r="I30" s="175" t="s">
        <v>227</v>
      </c>
      <c r="J30" s="175" t="s">
        <v>227</v>
      </c>
    </row>
    <row r="31" spans="1:10" x14ac:dyDescent="0.25">
      <c r="A31" s="170" t="s">
        <v>148</v>
      </c>
      <c r="B31" s="170" t="s">
        <v>374</v>
      </c>
      <c r="C31" s="170" t="s">
        <v>170</v>
      </c>
      <c r="D31" s="170" t="s">
        <v>147</v>
      </c>
      <c r="E31" s="171" t="s">
        <v>209</v>
      </c>
      <c r="F31" s="115">
        <v>1228</v>
      </c>
      <c r="G31" s="170" t="s">
        <v>169</v>
      </c>
      <c r="H31" s="170" t="s">
        <v>401</v>
      </c>
      <c r="I31" s="175" t="s">
        <v>227</v>
      </c>
      <c r="J31" s="175" t="s">
        <v>227</v>
      </c>
    </row>
    <row r="32" spans="1:10" x14ac:dyDescent="0.25">
      <c r="A32" s="170" t="s">
        <v>148</v>
      </c>
      <c r="B32" s="170" t="s">
        <v>375</v>
      </c>
      <c r="C32" s="170" t="s">
        <v>291</v>
      </c>
      <c r="D32" s="170" t="s">
        <v>147</v>
      </c>
      <c r="E32" s="171" t="s">
        <v>209</v>
      </c>
      <c r="F32" s="115">
        <v>175</v>
      </c>
      <c r="G32" s="170" t="s">
        <v>390</v>
      </c>
      <c r="H32" s="170" t="s">
        <v>303</v>
      </c>
      <c r="I32" s="175" t="s">
        <v>224</v>
      </c>
      <c r="J32" s="175" t="s">
        <v>227</v>
      </c>
    </row>
    <row r="33" spans="1:10" x14ac:dyDescent="0.25">
      <c r="A33" s="170" t="s">
        <v>178</v>
      </c>
      <c r="B33" s="170" t="s">
        <v>376</v>
      </c>
      <c r="C33" s="170" t="s">
        <v>206</v>
      </c>
      <c r="D33" s="170" t="s">
        <v>294</v>
      </c>
      <c r="E33" s="171" t="s">
        <v>209</v>
      </c>
      <c r="F33" s="115">
        <v>862</v>
      </c>
      <c r="G33" s="170" t="s">
        <v>391</v>
      </c>
      <c r="H33" s="170" t="s">
        <v>402</v>
      </c>
      <c r="I33" s="175" t="s">
        <v>227</v>
      </c>
      <c r="J33" s="175" t="s">
        <v>227</v>
      </c>
    </row>
    <row r="34" spans="1:10" x14ac:dyDescent="0.25">
      <c r="A34" s="170" t="s">
        <v>364</v>
      </c>
      <c r="B34" s="170" t="s">
        <v>377</v>
      </c>
      <c r="C34" s="170" t="s">
        <v>356</v>
      </c>
      <c r="D34" s="170" t="s">
        <v>150</v>
      </c>
      <c r="E34" s="171" t="s">
        <v>209</v>
      </c>
      <c r="F34" s="115">
        <v>2017</v>
      </c>
      <c r="G34" s="170" t="s">
        <v>392</v>
      </c>
      <c r="H34" s="170" t="s">
        <v>403</v>
      </c>
      <c r="I34" s="175" t="s">
        <v>227</v>
      </c>
      <c r="J34" s="175" t="s">
        <v>227</v>
      </c>
    </row>
    <row r="35" spans="1:10" x14ac:dyDescent="0.25">
      <c r="A35" s="170" t="s">
        <v>364</v>
      </c>
      <c r="B35" s="170" t="s">
        <v>378</v>
      </c>
      <c r="C35" s="170" t="s">
        <v>237</v>
      </c>
      <c r="D35" s="170" t="s">
        <v>150</v>
      </c>
      <c r="E35" s="171" t="s">
        <v>209</v>
      </c>
      <c r="F35" s="115">
        <v>235</v>
      </c>
      <c r="G35" s="170" t="s">
        <v>393</v>
      </c>
      <c r="H35" s="170" t="s">
        <v>404</v>
      </c>
      <c r="I35" s="175" t="s">
        <v>227</v>
      </c>
      <c r="J35" s="175" t="s">
        <v>227</v>
      </c>
    </row>
    <row r="36" spans="1:10" x14ac:dyDescent="0.25">
      <c r="A36" s="170" t="s">
        <v>149</v>
      </c>
      <c r="B36" s="170" t="s">
        <v>379</v>
      </c>
      <c r="C36" s="170" t="s">
        <v>238</v>
      </c>
      <c r="D36" s="170" t="s">
        <v>295</v>
      </c>
      <c r="E36" s="171" t="s">
        <v>209</v>
      </c>
      <c r="F36" s="115">
        <v>612</v>
      </c>
      <c r="G36" s="170" t="s">
        <v>185</v>
      </c>
      <c r="H36" s="170" t="s">
        <v>304</v>
      </c>
      <c r="I36" s="175" t="s">
        <v>224</v>
      </c>
      <c r="J36" s="175" t="s">
        <v>224</v>
      </c>
    </row>
    <row r="37" spans="1:10" x14ac:dyDescent="0.25">
      <c r="A37" s="170" t="s">
        <v>181</v>
      </c>
      <c r="B37" s="256">
        <v>1601057</v>
      </c>
      <c r="C37" s="170" t="s">
        <v>208</v>
      </c>
      <c r="D37" s="170" t="s">
        <v>296</v>
      </c>
      <c r="E37" s="171" t="s">
        <v>209</v>
      </c>
      <c r="F37" s="115">
        <v>274</v>
      </c>
      <c r="G37" s="170" t="s">
        <v>207</v>
      </c>
      <c r="H37" s="170" t="s">
        <v>305</v>
      </c>
      <c r="I37" s="175" t="s">
        <v>227</v>
      </c>
      <c r="J37" s="175" t="s">
        <v>227</v>
      </c>
    </row>
    <row r="38" spans="1:10" x14ac:dyDescent="0.25">
      <c r="A38" s="170" t="s">
        <v>143</v>
      </c>
      <c r="B38" s="170" t="s">
        <v>380</v>
      </c>
      <c r="C38" s="170" t="s">
        <v>142</v>
      </c>
      <c r="D38" s="170" t="s">
        <v>298</v>
      </c>
      <c r="E38" s="171" t="s">
        <v>209</v>
      </c>
      <c r="F38" s="115">
        <v>151</v>
      </c>
      <c r="G38" s="170" t="s">
        <v>394</v>
      </c>
      <c r="H38" s="170" t="s">
        <v>405</v>
      </c>
      <c r="I38" s="175" t="s">
        <v>227</v>
      </c>
      <c r="J38" s="175" t="s">
        <v>227</v>
      </c>
    </row>
    <row r="39" spans="1:10" x14ac:dyDescent="0.25">
      <c r="A39" s="170" t="s">
        <v>365</v>
      </c>
      <c r="B39" s="170" t="s">
        <v>381</v>
      </c>
      <c r="C39" s="170" t="s">
        <v>158</v>
      </c>
      <c r="D39" s="170" t="s">
        <v>299</v>
      </c>
      <c r="E39" s="171" t="s">
        <v>209</v>
      </c>
      <c r="F39" s="115">
        <v>794</v>
      </c>
      <c r="G39" s="170" t="s">
        <v>395</v>
      </c>
      <c r="H39" s="170" t="s">
        <v>406</v>
      </c>
      <c r="I39" s="175" t="s">
        <v>227</v>
      </c>
      <c r="J39" s="175" t="s">
        <v>227</v>
      </c>
    </row>
    <row r="40" spans="1:10" x14ac:dyDescent="0.25">
      <c r="A40" s="170" t="s">
        <v>365</v>
      </c>
      <c r="B40" s="170" t="s">
        <v>382</v>
      </c>
      <c r="C40" s="170" t="s">
        <v>357</v>
      </c>
      <c r="D40" s="170" t="s">
        <v>299</v>
      </c>
      <c r="E40" s="171" t="s">
        <v>209</v>
      </c>
      <c r="F40" s="115">
        <v>46</v>
      </c>
      <c r="G40" s="170" t="s">
        <v>396</v>
      </c>
      <c r="H40" s="170" t="s">
        <v>407</v>
      </c>
      <c r="I40" s="175" t="s">
        <v>227</v>
      </c>
      <c r="J40" s="175" t="s">
        <v>227</v>
      </c>
    </row>
    <row r="41" spans="1:10" x14ac:dyDescent="0.25">
      <c r="A41" s="170" t="s">
        <v>153</v>
      </c>
      <c r="B41" s="170" t="s">
        <v>383</v>
      </c>
      <c r="C41" s="170" t="s">
        <v>235</v>
      </c>
      <c r="D41" s="170" t="s">
        <v>300</v>
      </c>
      <c r="E41" s="171" t="s">
        <v>209</v>
      </c>
      <c r="F41" s="115">
        <v>774</v>
      </c>
      <c r="G41" s="170" t="s">
        <v>397</v>
      </c>
      <c r="H41" s="170" t="s">
        <v>408</v>
      </c>
      <c r="I41" s="175" t="s">
        <v>227</v>
      </c>
      <c r="J41" s="175" t="s">
        <v>227</v>
      </c>
    </row>
    <row r="42" spans="1:10" x14ac:dyDescent="0.25">
      <c r="A42" s="170" t="s">
        <v>198</v>
      </c>
      <c r="B42" s="170" t="s">
        <v>384</v>
      </c>
      <c r="C42" s="170" t="s">
        <v>358</v>
      </c>
      <c r="D42" s="170" t="s">
        <v>341</v>
      </c>
      <c r="E42" s="171" t="s">
        <v>209</v>
      </c>
      <c r="F42" s="115">
        <v>230</v>
      </c>
      <c r="G42" s="170" t="s">
        <v>398</v>
      </c>
      <c r="H42" s="170" t="s">
        <v>409</v>
      </c>
      <c r="I42" s="175" t="s">
        <v>227</v>
      </c>
      <c r="J42" s="175" t="s">
        <v>227</v>
      </c>
    </row>
    <row r="43" spans="1:10" x14ac:dyDescent="0.25">
      <c r="A43" s="170" t="s">
        <v>174</v>
      </c>
      <c r="B43" s="170" t="s">
        <v>385</v>
      </c>
      <c r="C43" s="170" t="s">
        <v>359</v>
      </c>
      <c r="D43" s="170" t="s">
        <v>316</v>
      </c>
      <c r="E43" s="171" t="s">
        <v>209</v>
      </c>
      <c r="F43" s="115">
        <v>405</v>
      </c>
      <c r="G43" s="170" t="s">
        <v>171</v>
      </c>
      <c r="H43" s="170" t="s">
        <v>410</v>
      </c>
      <c r="I43" s="175" t="s">
        <v>224</v>
      </c>
      <c r="J43" s="175" t="s">
        <v>224</v>
      </c>
    </row>
    <row r="44" spans="1:10" x14ac:dyDescent="0.25">
      <c r="A44" s="170" t="s">
        <v>366</v>
      </c>
      <c r="B44" s="170" t="s">
        <v>386</v>
      </c>
      <c r="C44" s="170" t="s">
        <v>360</v>
      </c>
      <c r="D44" s="170" t="s">
        <v>388</v>
      </c>
      <c r="E44" s="171" t="s">
        <v>209</v>
      </c>
      <c r="F44" s="115">
        <v>237</v>
      </c>
      <c r="G44" s="170" t="s">
        <v>229</v>
      </c>
      <c r="H44" s="170" t="s">
        <v>411</v>
      </c>
      <c r="I44" s="175" t="s">
        <v>227</v>
      </c>
      <c r="J44" s="175" t="s">
        <v>224</v>
      </c>
    </row>
    <row r="45" spans="1:10" x14ac:dyDescent="0.25">
      <c r="A45" s="257"/>
      <c r="B45" s="258"/>
      <c r="C45" s="259"/>
      <c r="D45" s="260" t="s">
        <v>20</v>
      </c>
      <c r="E45" s="261"/>
      <c r="F45" s="262">
        <f>SUM(F24:F44)</f>
        <v>12783</v>
      </c>
      <c r="G45" s="259"/>
      <c r="H45" s="259"/>
      <c r="I45" s="259"/>
      <c r="J45" s="263"/>
    </row>
    <row r="46" spans="1:10" x14ac:dyDescent="0.25">
      <c r="A46" s="264"/>
      <c r="B46" s="265"/>
      <c r="C46" s="266"/>
      <c r="D46" s="260" t="s">
        <v>8</v>
      </c>
      <c r="E46" s="261"/>
      <c r="F46" s="267">
        <f>AVERAGE(F24:F44)</f>
        <v>608.71428571428567</v>
      </c>
      <c r="G46" s="266"/>
      <c r="H46" s="266"/>
      <c r="I46" s="266"/>
      <c r="J46" s="268"/>
    </row>
    <row r="47" spans="1:10" s="5" customFormat="1" x14ac:dyDescent="0.25">
      <c r="A47" s="269"/>
      <c r="B47" s="270"/>
      <c r="C47" s="271"/>
      <c r="D47" s="260" t="s">
        <v>9</v>
      </c>
      <c r="E47" s="261"/>
      <c r="F47" s="267">
        <f>MEDIAN(F24:F44)</f>
        <v>405</v>
      </c>
      <c r="G47" s="271"/>
      <c r="H47" s="271"/>
      <c r="I47" s="271"/>
      <c r="J47" s="272"/>
    </row>
    <row r="48" spans="1:10" s="5" customFormat="1" x14ac:dyDescent="0.25">
      <c r="A48" s="4"/>
      <c r="B48" s="151"/>
      <c r="C48" s="4"/>
      <c r="D48" s="4"/>
      <c r="E48" s="223"/>
      <c r="F48" s="4"/>
      <c r="G48" s="4"/>
      <c r="H48" s="4"/>
      <c r="I48" s="4"/>
      <c r="J48" s="4"/>
    </row>
    <row r="49" spans="1:43" s="5" customFormat="1" x14ac:dyDescent="0.25">
      <c r="A49" s="4"/>
      <c r="B49" s="151"/>
      <c r="C49" s="4"/>
      <c r="D49" s="4"/>
      <c r="E49" s="223"/>
      <c r="F49" s="4"/>
      <c r="G49" s="4"/>
      <c r="H49" s="4"/>
      <c r="I49" s="4"/>
      <c r="J49" s="4"/>
    </row>
    <row r="50" spans="1:43" s="3" customFormat="1" ht="15" customHeight="1" x14ac:dyDescent="0.25">
      <c r="A50" s="154" t="s">
        <v>668</v>
      </c>
      <c r="B50" s="154"/>
      <c r="C50" s="246"/>
      <c r="D50" s="246"/>
      <c r="E50" s="246"/>
      <c r="F50" s="247"/>
      <c r="G50" s="246"/>
      <c r="H50" s="156"/>
      <c r="I50" s="156"/>
      <c r="J50" s="248"/>
      <c r="AJ50" s="273"/>
      <c r="AO50" s="273"/>
      <c r="AP50" s="273"/>
      <c r="AQ50" s="273"/>
    </row>
    <row r="51" spans="1:43" ht="15" customHeight="1" x14ac:dyDescent="0.25">
      <c r="A51" s="154"/>
      <c r="B51" s="154"/>
      <c r="C51" s="246"/>
      <c r="D51" s="246"/>
      <c r="E51" s="246"/>
      <c r="F51" s="247"/>
      <c r="G51" s="246"/>
      <c r="H51" s="248"/>
      <c r="I51" s="250" t="s">
        <v>16</v>
      </c>
      <c r="J51" s="22"/>
      <c r="AJ51" s="152"/>
      <c r="AO51" s="152"/>
      <c r="AP51" s="152"/>
      <c r="AQ51" s="152"/>
    </row>
    <row r="52" spans="1:43" s="251" customFormat="1" ht="38.25" x14ac:dyDescent="0.2">
      <c r="A52" s="252" t="s">
        <v>11</v>
      </c>
      <c r="B52" s="253" t="s">
        <v>17</v>
      </c>
      <c r="C52" s="252" t="s">
        <v>12</v>
      </c>
      <c r="D52" s="252" t="s">
        <v>13</v>
      </c>
      <c r="E52" s="252" t="s">
        <v>2</v>
      </c>
      <c r="F52" s="254" t="s">
        <v>5</v>
      </c>
      <c r="G52" s="252" t="s">
        <v>14</v>
      </c>
      <c r="H52" s="252" t="s">
        <v>15</v>
      </c>
      <c r="I52" s="255" t="s">
        <v>18</v>
      </c>
      <c r="J52" s="255" t="s">
        <v>19</v>
      </c>
    </row>
    <row r="53" spans="1:43" s="251" customFormat="1" x14ac:dyDescent="0.25">
      <c r="A53" s="170" t="s">
        <v>362</v>
      </c>
      <c r="B53" s="170" t="s">
        <v>419</v>
      </c>
      <c r="C53" s="170" t="s">
        <v>306</v>
      </c>
      <c r="D53" s="170" t="s">
        <v>307</v>
      </c>
      <c r="E53" s="171" t="s">
        <v>210</v>
      </c>
      <c r="F53" s="115">
        <v>194</v>
      </c>
      <c r="G53" s="170" t="s">
        <v>309</v>
      </c>
      <c r="H53" s="170" t="s">
        <v>310</v>
      </c>
      <c r="I53" s="175" t="s">
        <v>224</v>
      </c>
      <c r="J53" s="274" t="s">
        <v>227</v>
      </c>
    </row>
    <row r="54" spans="1:43" s="251" customFormat="1" x14ac:dyDescent="0.25">
      <c r="A54" s="170" t="s">
        <v>178</v>
      </c>
      <c r="B54" s="170" t="s">
        <v>241</v>
      </c>
      <c r="C54" s="170" t="s">
        <v>413</v>
      </c>
      <c r="D54" s="170" t="s">
        <v>308</v>
      </c>
      <c r="E54" s="171" t="s">
        <v>210</v>
      </c>
      <c r="F54" s="115">
        <v>106</v>
      </c>
      <c r="G54" s="170" t="s">
        <v>200</v>
      </c>
      <c r="H54" s="170" t="s">
        <v>201</v>
      </c>
      <c r="I54" s="175" t="s">
        <v>227</v>
      </c>
      <c r="J54" s="274"/>
    </row>
    <row r="55" spans="1:43" x14ac:dyDescent="0.25">
      <c r="A55" s="170" t="s">
        <v>417</v>
      </c>
      <c r="B55" s="170" t="s">
        <v>420</v>
      </c>
      <c r="C55" s="170" t="s">
        <v>414</v>
      </c>
      <c r="D55" s="170" t="s">
        <v>165</v>
      </c>
      <c r="E55" s="171" t="s">
        <v>210</v>
      </c>
      <c r="F55" s="115">
        <v>182</v>
      </c>
      <c r="G55" s="170" t="s">
        <v>426</v>
      </c>
      <c r="H55" s="170" t="s">
        <v>430</v>
      </c>
      <c r="I55" s="175" t="s">
        <v>227</v>
      </c>
      <c r="J55" s="274" t="s">
        <v>227</v>
      </c>
    </row>
    <row r="56" spans="1:43" x14ac:dyDescent="0.25">
      <c r="A56" s="170" t="s">
        <v>157</v>
      </c>
      <c r="B56" s="170" t="s">
        <v>421</v>
      </c>
      <c r="C56" s="170" t="s">
        <v>415</v>
      </c>
      <c r="D56" s="170" t="s">
        <v>424</v>
      </c>
      <c r="E56" s="171" t="s">
        <v>210</v>
      </c>
      <c r="F56" s="115">
        <v>83</v>
      </c>
      <c r="G56" s="170" t="s">
        <v>427</v>
      </c>
      <c r="H56" s="170" t="s">
        <v>431</v>
      </c>
      <c r="I56" s="175" t="s">
        <v>224</v>
      </c>
      <c r="J56" s="274" t="s">
        <v>227</v>
      </c>
    </row>
    <row r="57" spans="1:43" x14ac:dyDescent="0.25">
      <c r="A57" s="170" t="s">
        <v>418</v>
      </c>
      <c r="B57" s="170" t="s">
        <v>422</v>
      </c>
      <c r="C57" s="170" t="s">
        <v>416</v>
      </c>
      <c r="D57" s="170" t="s">
        <v>425</v>
      </c>
      <c r="E57" s="171" t="s">
        <v>211</v>
      </c>
      <c r="F57" s="115">
        <v>212</v>
      </c>
      <c r="G57" s="170" t="s">
        <v>428</v>
      </c>
      <c r="H57" s="170" t="s">
        <v>432</v>
      </c>
      <c r="I57" s="175" t="s">
        <v>227</v>
      </c>
      <c r="J57" s="274"/>
    </row>
    <row r="58" spans="1:43" x14ac:dyDescent="0.25">
      <c r="A58" s="170" t="s">
        <v>179</v>
      </c>
      <c r="B58" s="170" t="s">
        <v>423</v>
      </c>
      <c r="C58" s="170" t="s">
        <v>412</v>
      </c>
      <c r="D58" s="170" t="s">
        <v>297</v>
      </c>
      <c r="E58" s="171" t="s">
        <v>211</v>
      </c>
      <c r="F58" s="115">
        <v>280</v>
      </c>
      <c r="G58" s="170" t="s">
        <v>429</v>
      </c>
      <c r="H58" s="170" t="s">
        <v>433</v>
      </c>
      <c r="I58" s="175" t="s">
        <v>224</v>
      </c>
      <c r="J58" s="274"/>
    </row>
    <row r="59" spans="1:43" x14ac:dyDescent="0.25">
      <c r="A59" s="257"/>
      <c r="B59" s="258"/>
      <c r="C59" s="259"/>
      <c r="D59" s="260" t="s">
        <v>20</v>
      </c>
      <c r="E59" s="261"/>
      <c r="F59" s="262">
        <f>SUM(F53:F58)</f>
        <v>1057</v>
      </c>
      <c r="G59" s="259"/>
      <c r="H59" s="259"/>
      <c r="I59" s="259"/>
      <c r="J59" s="263"/>
    </row>
    <row r="60" spans="1:43" x14ac:dyDescent="0.25">
      <c r="A60" s="264"/>
      <c r="B60" s="265"/>
      <c r="C60" s="266"/>
      <c r="D60" s="260" t="s">
        <v>8</v>
      </c>
      <c r="E60" s="261"/>
      <c r="F60" s="267">
        <f>AVERAGE(F53:F58)</f>
        <v>176.16666666666666</v>
      </c>
      <c r="G60" s="266"/>
      <c r="H60" s="266"/>
      <c r="I60" s="266"/>
      <c r="J60" s="268"/>
    </row>
    <row r="61" spans="1:43" s="5" customFormat="1" x14ac:dyDescent="0.25">
      <c r="A61" s="269"/>
      <c r="B61" s="270"/>
      <c r="C61" s="271"/>
      <c r="D61" s="260" t="s">
        <v>9</v>
      </c>
      <c r="E61" s="261"/>
      <c r="F61" s="267">
        <f>MEDIAN(F53:F58)</f>
        <v>188</v>
      </c>
      <c r="G61" s="271"/>
      <c r="H61" s="271"/>
      <c r="I61" s="271"/>
      <c r="J61" s="272"/>
    </row>
    <row r="62" spans="1:43" s="5" customFormat="1" x14ac:dyDescent="0.25">
      <c r="A62" s="4"/>
      <c r="B62" s="4"/>
      <c r="C62" s="151"/>
      <c r="D62" s="4"/>
      <c r="E62" s="4"/>
      <c r="F62" s="4"/>
      <c r="G62" s="4"/>
      <c r="H62" s="4"/>
      <c r="I62" s="4"/>
      <c r="J62" s="4"/>
    </row>
    <row r="63" spans="1:43" s="5" customFormat="1" x14ac:dyDescent="0.25">
      <c r="A63" s="4"/>
      <c r="B63" s="4"/>
      <c r="C63" s="151"/>
      <c r="D63" s="4"/>
      <c r="E63" s="4"/>
      <c r="F63" s="4"/>
      <c r="G63" s="4"/>
      <c r="H63" s="4"/>
      <c r="I63" s="4"/>
      <c r="J63" s="4"/>
    </row>
    <row r="64" spans="1:43" s="3" customFormat="1" x14ac:dyDescent="0.25">
      <c r="A64" s="154" t="s">
        <v>669</v>
      </c>
      <c r="B64" s="154"/>
      <c r="C64" s="246"/>
      <c r="D64" s="246"/>
      <c r="E64" s="246"/>
      <c r="F64" s="247"/>
      <c r="G64" s="246"/>
      <c r="H64" s="156"/>
      <c r="I64" s="156"/>
      <c r="J64" s="248"/>
    </row>
    <row r="65" spans="1:10" x14ac:dyDescent="0.25">
      <c r="A65" s="154"/>
      <c r="B65" s="154"/>
      <c r="C65" s="246"/>
      <c r="D65" s="246"/>
      <c r="E65" s="246"/>
      <c r="F65" s="247"/>
      <c r="G65" s="246"/>
      <c r="H65" s="248"/>
      <c r="I65" s="250" t="s">
        <v>16</v>
      </c>
      <c r="J65" s="22"/>
    </row>
    <row r="66" spans="1:10" s="251" customFormat="1" ht="38.25" x14ac:dyDescent="0.2">
      <c r="A66" s="252" t="s">
        <v>11</v>
      </c>
      <c r="B66" s="253" t="s">
        <v>17</v>
      </c>
      <c r="C66" s="252" t="s">
        <v>12</v>
      </c>
      <c r="D66" s="252" t="s">
        <v>13</v>
      </c>
      <c r="E66" s="252" t="s">
        <v>2</v>
      </c>
      <c r="F66" s="254" t="s">
        <v>5</v>
      </c>
      <c r="G66" s="252" t="s">
        <v>14</v>
      </c>
      <c r="H66" s="252" t="s">
        <v>15</v>
      </c>
      <c r="I66" s="255" t="s">
        <v>18</v>
      </c>
      <c r="J66" s="255" t="s">
        <v>19</v>
      </c>
    </row>
    <row r="67" spans="1:10" s="251" customFormat="1" x14ac:dyDescent="0.25">
      <c r="A67" s="170" t="s">
        <v>180</v>
      </c>
      <c r="B67" s="170" t="s">
        <v>439</v>
      </c>
      <c r="C67" s="170" t="s">
        <v>441</v>
      </c>
      <c r="D67" s="170" t="s">
        <v>435</v>
      </c>
      <c r="E67" s="199" t="s">
        <v>449</v>
      </c>
      <c r="F67" s="200">
        <v>236</v>
      </c>
      <c r="G67" s="170" t="s">
        <v>444</v>
      </c>
      <c r="H67" s="170" t="s">
        <v>446</v>
      </c>
      <c r="I67" s="275" t="s">
        <v>227</v>
      </c>
      <c r="J67" s="276" t="s">
        <v>227</v>
      </c>
    </row>
    <row r="68" spans="1:10" s="251" customFormat="1" x14ac:dyDescent="0.25">
      <c r="A68" s="170" t="s">
        <v>417</v>
      </c>
      <c r="B68" s="170" t="s">
        <v>437</v>
      </c>
      <c r="C68" s="170" t="s">
        <v>205</v>
      </c>
      <c r="D68" s="170" t="s">
        <v>311</v>
      </c>
      <c r="E68" s="199" t="s">
        <v>212</v>
      </c>
      <c r="F68" s="200">
        <v>168</v>
      </c>
      <c r="G68" s="170" t="s">
        <v>203</v>
      </c>
      <c r="H68" s="170" t="s">
        <v>204</v>
      </c>
      <c r="I68" s="275" t="s">
        <v>227</v>
      </c>
      <c r="J68" s="276" t="s">
        <v>227</v>
      </c>
    </row>
    <row r="69" spans="1:10" x14ac:dyDescent="0.25">
      <c r="A69" s="170" t="s">
        <v>443</v>
      </c>
      <c r="B69" s="170" t="s">
        <v>438</v>
      </c>
      <c r="C69" s="170" t="s">
        <v>442</v>
      </c>
      <c r="D69" s="170" t="s">
        <v>436</v>
      </c>
      <c r="E69" s="199" t="s">
        <v>212</v>
      </c>
      <c r="F69" s="200">
        <v>89</v>
      </c>
      <c r="G69" s="170" t="s">
        <v>445</v>
      </c>
      <c r="H69" s="170" t="s">
        <v>447</v>
      </c>
      <c r="I69" s="275" t="s">
        <v>227</v>
      </c>
      <c r="J69" s="276" t="s">
        <v>227</v>
      </c>
    </row>
    <row r="70" spans="1:10" x14ac:dyDescent="0.25">
      <c r="A70" s="170" t="s">
        <v>181</v>
      </c>
      <c r="B70" s="170" t="s">
        <v>440</v>
      </c>
      <c r="C70" s="170" t="s">
        <v>434</v>
      </c>
      <c r="D70" s="170" t="s">
        <v>242</v>
      </c>
      <c r="E70" s="199" t="s">
        <v>212</v>
      </c>
      <c r="F70" s="200">
        <v>36</v>
      </c>
      <c r="G70" s="170" t="s">
        <v>258</v>
      </c>
      <c r="H70" s="170" t="s">
        <v>448</v>
      </c>
      <c r="I70" s="275" t="s">
        <v>227</v>
      </c>
      <c r="J70" s="276" t="s">
        <v>227</v>
      </c>
    </row>
    <row r="71" spans="1:10" x14ac:dyDescent="0.25">
      <c r="A71" s="257"/>
      <c r="B71" s="258"/>
      <c r="C71" s="259"/>
      <c r="D71" s="260" t="s">
        <v>20</v>
      </c>
      <c r="E71" s="261"/>
      <c r="F71" s="262">
        <f>SUM(F67:F70)</f>
        <v>529</v>
      </c>
      <c r="G71" s="259"/>
      <c r="H71" s="259"/>
      <c r="I71" s="259"/>
      <c r="J71" s="263"/>
    </row>
    <row r="72" spans="1:10" x14ac:dyDescent="0.25">
      <c r="A72" s="264"/>
      <c r="B72" s="265"/>
      <c r="C72" s="266"/>
      <c r="D72" s="260" t="s">
        <v>8</v>
      </c>
      <c r="E72" s="261"/>
      <c r="F72" s="267">
        <f>AVERAGE(F67:F70)</f>
        <v>132.25</v>
      </c>
      <c r="G72" s="266"/>
      <c r="H72" s="266"/>
      <c r="I72" s="266"/>
      <c r="J72" s="268"/>
    </row>
    <row r="73" spans="1:10" s="5" customFormat="1" x14ac:dyDescent="0.25">
      <c r="A73" s="269"/>
      <c r="B73" s="270"/>
      <c r="C73" s="271"/>
      <c r="D73" s="260" t="s">
        <v>9</v>
      </c>
      <c r="E73" s="261"/>
      <c r="F73" s="267">
        <f>MEDIAN(F67:F70)</f>
        <v>128.5</v>
      </c>
      <c r="G73" s="271"/>
      <c r="H73" s="271"/>
      <c r="I73" s="271"/>
      <c r="J73" s="272"/>
    </row>
    <row r="74" spans="1:10" s="5" customFormat="1" x14ac:dyDescent="0.25">
      <c r="A74" s="4"/>
      <c r="B74" s="4"/>
      <c r="C74" s="151"/>
      <c r="D74" s="4"/>
      <c r="E74" s="4"/>
      <c r="F74" s="4"/>
      <c r="G74" s="4"/>
      <c r="H74" s="4"/>
      <c r="I74" s="4"/>
      <c r="J74" s="4"/>
    </row>
    <row r="75" spans="1:10" s="5" customFormat="1" x14ac:dyDescent="0.25">
      <c r="A75" s="4"/>
      <c r="B75" s="4"/>
      <c r="C75" s="151"/>
      <c r="D75" s="4"/>
      <c r="E75" s="4"/>
      <c r="F75" s="4"/>
      <c r="G75" s="4"/>
      <c r="H75" s="4"/>
      <c r="I75" s="4"/>
      <c r="J75" s="4"/>
    </row>
    <row r="76" spans="1:10" s="3" customFormat="1" x14ac:dyDescent="0.25">
      <c r="A76" s="154" t="s">
        <v>670</v>
      </c>
      <c r="B76" s="154"/>
      <c r="C76" s="246"/>
      <c r="D76" s="246"/>
      <c r="E76" s="246"/>
      <c r="F76" s="247"/>
      <c r="G76" s="246"/>
      <c r="H76" s="156"/>
      <c r="I76" s="156"/>
      <c r="J76" s="248"/>
    </row>
    <row r="77" spans="1:10" x14ac:dyDescent="0.25">
      <c r="A77" s="154"/>
      <c r="B77" s="154"/>
      <c r="C77" s="246"/>
      <c r="D77" s="246"/>
      <c r="E77" s="246"/>
      <c r="F77" s="247"/>
      <c r="G77" s="246"/>
      <c r="H77" s="248"/>
      <c r="I77" s="250" t="s">
        <v>16</v>
      </c>
      <c r="J77" s="22"/>
    </row>
    <row r="78" spans="1:10" s="251" customFormat="1" ht="38.25" x14ac:dyDescent="0.2">
      <c r="A78" s="252" t="s">
        <v>11</v>
      </c>
      <c r="B78" s="253" t="s">
        <v>17</v>
      </c>
      <c r="C78" s="252" t="s">
        <v>12</v>
      </c>
      <c r="D78" s="252" t="s">
        <v>13</v>
      </c>
      <c r="E78" s="252" t="s">
        <v>2</v>
      </c>
      <c r="F78" s="254" t="s">
        <v>5</v>
      </c>
      <c r="G78" s="252" t="s">
        <v>14</v>
      </c>
      <c r="H78" s="252" t="s">
        <v>15</v>
      </c>
      <c r="I78" s="255" t="s">
        <v>18</v>
      </c>
      <c r="J78" s="255" t="s">
        <v>19</v>
      </c>
    </row>
    <row r="79" spans="1:10" s="251" customFormat="1" x14ac:dyDescent="0.25">
      <c r="A79" s="170" t="s">
        <v>361</v>
      </c>
      <c r="B79" s="170" t="s">
        <v>451</v>
      </c>
      <c r="C79" s="170" t="s">
        <v>503</v>
      </c>
      <c r="D79" s="170" t="s">
        <v>160</v>
      </c>
      <c r="E79" s="206" t="s">
        <v>213</v>
      </c>
      <c r="F79" s="200">
        <v>719</v>
      </c>
      <c r="G79" s="170" t="s">
        <v>464</v>
      </c>
      <c r="H79" s="170" t="s">
        <v>472</v>
      </c>
      <c r="I79" s="175" t="s">
        <v>227</v>
      </c>
      <c r="J79" s="175" t="s">
        <v>227</v>
      </c>
    </row>
    <row r="80" spans="1:10" s="251" customFormat="1" x14ac:dyDescent="0.25">
      <c r="A80" s="170" t="s">
        <v>163</v>
      </c>
      <c r="B80" s="170" t="s">
        <v>452</v>
      </c>
      <c r="C80" s="170" t="s">
        <v>164</v>
      </c>
      <c r="D80" s="170" t="s">
        <v>292</v>
      </c>
      <c r="E80" s="206" t="s">
        <v>213</v>
      </c>
      <c r="F80" s="200">
        <v>173</v>
      </c>
      <c r="G80" s="170" t="s">
        <v>317</v>
      </c>
      <c r="H80" s="170" t="s">
        <v>319</v>
      </c>
      <c r="I80" s="175" t="s">
        <v>227</v>
      </c>
      <c r="J80" s="175" t="s">
        <v>227</v>
      </c>
    </row>
    <row r="81" spans="1:10" x14ac:dyDescent="0.25">
      <c r="A81" s="170" t="s">
        <v>148</v>
      </c>
      <c r="B81" s="170" t="s">
        <v>453</v>
      </c>
      <c r="C81" s="170" t="s">
        <v>504</v>
      </c>
      <c r="D81" s="170" t="s">
        <v>147</v>
      </c>
      <c r="E81" s="206" t="s">
        <v>214</v>
      </c>
      <c r="F81" s="200">
        <v>890</v>
      </c>
      <c r="G81" s="170" t="s">
        <v>465</v>
      </c>
      <c r="H81" s="170" t="s">
        <v>473</v>
      </c>
      <c r="I81" s="175" t="s">
        <v>227</v>
      </c>
      <c r="J81" s="175" t="s">
        <v>227</v>
      </c>
    </row>
    <row r="82" spans="1:10" x14ac:dyDescent="0.25">
      <c r="A82" s="170" t="s">
        <v>148</v>
      </c>
      <c r="B82" s="170" t="s">
        <v>454</v>
      </c>
      <c r="C82" s="170" t="s">
        <v>505</v>
      </c>
      <c r="D82" s="170" t="s">
        <v>147</v>
      </c>
      <c r="E82" s="206" t="s">
        <v>214</v>
      </c>
      <c r="F82" s="200">
        <v>717</v>
      </c>
      <c r="G82" s="170" t="s">
        <v>466</v>
      </c>
      <c r="H82" s="170" t="s">
        <v>474</v>
      </c>
      <c r="I82" s="175" t="s">
        <v>227</v>
      </c>
      <c r="J82" s="175" t="s">
        <v>227</v>
      </c>
    </row>
    <row r="83" spans="1:10" x14ac:dyDescent="0.25">
      <c r="A83" s="170" t="s">
        <v>178</v>
      </c>
      <c r="B83" s="170" t="s">
        <v>455</v>
      </c>
      <c r="C83" s="170" t="s">
        <v>243</v>
      </c>
      <c r="D83" s="170" t="s">
        <v>294</v>
      </c>
      <c r="E83" s="206" t="s">
        <v>214</v>
      </c>
      <c r="F83" s="200">
        <v>470</v>
      </c>
      <c r="G83" s="170" t="s">
        <v>318</v>
      </c>
      <c r="H83" s="170" t="s">
        <v>320</v>
      </c>
      <c r="I83" s="175" t="s">
        <v>480</v>
      </c>
      <c r="J83" s="175" t="s">
        <v>227</v>
      </c>
    </row>
    <row r="84" spans="1:10" x14ac:dyDescent="0.25">
      <c r="A84" s="170" t="s">
        <v>364</v>
      </c>
      <c r="B84" s="170" t="s">
        <v>456</v>
      </c>
      <c r="C84" s="170" t="s">
        <v>450</v>
      </c>
      <c r="D84" s="170" t="s">
        <v>150</v>
      </c>
      <c r="E84" s="206" t="s">
        <v>213</v>
      </c>
      <c r="F84" s="200">
        <v>447</v>
      </c>
      <c r="G84" s="170" t="s">
        <v>467</v>
      </c>
      <c r="H84" s="170" t="s">
        <v>475</v>
      </c>
      <c r="I84" s="175" t="s">
        <v>227</v>
      </c>
      <c r="J84" s="175" t="s">
        <v>227</v>
      </c>
    </row>
    <row r="85" spans="1:10" x14ac:dyDescent="0.25">
      <c r="A85" s="170" t="s">
        <v>364</v>
      </c>
      <c r="B85" s="170" t="s">
        <v>457</v>
      </c>
      <c r="C85" s="170" t="s">
        <v>506</v>
      </c>
      <c r="D85" s="170" t="s">
        <v>150</v>
      </c>
      <c r="E85" s="206" t="s">
        <v>213</v>
      </c>
      <c r="F85" s="200">
        <v>792</v>
      </c>
      <c r="G85" s="170" t="s">
        <v>468</v>
      </c>
      <c r="H85" s="170" t="s">
        <v>476</v>
      </c>
      <c r="I85" s="175" t="s">
        <v>227</v>
      </c>
      <c r="J85" s="175" t="s">
        <v>227</v>
      </c>
    </row>
    <row r="86" spans="1:10" x14ac:dyDescent="0.25">
      <c r="A86" s="170" t="s">
        <v>364</v>
      </c>
      <c r="B86" s="170" t="s">
        <v>458</v>
      </c>
      <c r="C86" s="170" t="s">
        <v>507</v>
      </c>
      <c r="D86" s="170" t="s">
        <v>150</v>
      </c>
      <c r="E86" s="206" t="s">
        <v>213</v>
      </c>
      <c r="F86" s="200">
        <v>767</v>
      </c>
      <c r="G86" s="170" t="s">
        <v>260</v>
      </c>
      <c r="H86" s="170" t="s">
        <v>261</v>
      </c>
      <c r="I86" s="175" t="s">
        <v>227</v>
      </c>
      <c r="J86" s="175" t="s">
        <v>227</v>
      </c>
    </row>
    <row r="87" spans="1:10" x14ac:dyDescent="0.25">
      <c r="A87" s="170" t="s">
        <v>149</v>
      </c>
      <c r="B87" s="170" t="s">
        <v>459</v>
      </c>
      <c r="C87" s="170" t="s">
        <v>312</v>
      </c>
      <c r="D87" s="170" t="s">
        <v>295</v>
      </c>
      <c r="E87" s="206" t="s">
        <v>213</v>
      </c>
      <c r="F87" s="200">
        <v>466</v>
      </c>
      <c r="G87" s="170" t="s">
        <v>185</v>
      </c>
      <c r="H87" s="170" t="s">
        <v>304</v>
      </c>
      <c r="I87" s="175" t="s">
        <v>480</v>
      </c>
      <c r="J87" s="175" t="s">
        <v>480</v>
      </c>
    </row>
    <row r="88" spans="1:10" x14ac:dyDescent="0.25">
      <c r="A88" s="170" t="s">
        <v>183</v>
      </c>
      <c r="B88" s="170" t="s">
        <v>259</v>
      </c>
      <c r="C88" s="170" t="s">
        <v>244</v>
      </c>
      <c r="D88" s="170" t="s">
        <v>297</v>
      </c>
      <c r="E88" s="206" t="s">
        <v>213</v>
      </c>
      <c r="F88" s="200">
        <v>869</v>
      </c>
      <c r="G88" s="170" t="s">
        <v>469</v>
      </c>
      <c r="H88" s="170" t="s">
        <v>477</v>
      </c>
      <c r="I88" s="175" t="s">
        <v>227</v>
      </c>
      <c r="J88" s="175" t="s">
        <v>227</v>
      </c>
    </row>
    <row r="89" spans="1:10" x14ac:dyDescent="0.25">
      <c r="A89" s="170" t="s">
        <v>143</v>
      </c>
      <c r="B89" s="170" t="s">
        <v>460</v>
      </c>
      <c r="C89" s="170" t="s">
        <v>508</v>
      </c>
      <c r="D89" s="170" t="s">
        <v>298</v>
      </c>
      <c r="E89" s="206" t="s">
        <v>213</v>
      </c>
      <c r="F89" s="200">
        <v>105</v>
      </c>
      <c r="G89" s="170" t="s">
        <v>470</v>
      </c>
      <c r="H89" s="170" t="s">
        <v>478</v>
      </c>
      <c r="I89" s="175" t="s">
        <v>480</v>
      </c>
      <c r="J89" s="175" t="s">
        <v>227</v>
      </c>
    </row>
    <row r="90" spans="1:10" x14ac:dyDescent="0.25">
      <c r="A90" s="170" t="s">
        <v>257</v>
      </c>
      <c r="B90" s="170" t="s">
        <v>461</v>
      </c>
      <c r="C90" s="170" t="s">
        <v>509</v>
      </c>
      <c r="D90" s="170" t="s">
        <v>315</v>
      </c>
      <c r="E90" s="206" t="s">
        <v>214</v>
      </c>
      <c r="F90" s="200">
        <v>799</v>
      </c>
      <c r="G90" s="170" t="s">
        <v>471</v>
      </c>
      <c r="H90" s="170" t="s">
        <v>479</v>
      </c>
      <c r="I90" s="175" t="s">
        <v>480</v>
      </c>
      <c r="J90" s="175" t="s">
        <v>227</v>
      </c>
    </row>
    <row r="91" spans="1:10" x14ac:dyDescent="0.25">
      <c r="A91" s="170" t="s">
        <v>365</v>
      </c>
      <c r="B91" s="170" t="s">
        <v>462</v>
      </c>
      <c r="C91" s="170" t="s">
        <v>313</v>
      </c>
      <c r="D91" s="170" t="s">
        <v>299</v>
      </c>
      <c r="E91" s="206" t="s">
        <v>213</v>
      </c>
      <c r="F91" s="200">
        <v>698</v>
      </c>
      <c r="G91" s="170" t="s">
        <v>188</v>
      </c>
      <c r="H91" s="170" t="s">
        <v>189</v>
      </c>
      <c r="I91" s="175" t="s">
        <v>227</v>
      </c>
      <c r="J91" s="175" t="s">
        <v>227</v>
      </c>
    </row>
    <row r="92" spans="1:10" x14ac:dyDescent="0.25">
      <c r="A92" s="170" t="s">
        <v>174</v>
      </c>
      <c r="B92" s="170" t="s">
        <v>463</v>
      </c>
      <c r="C92" s="170" t="s">
        <v>177</v>
      </c>
      <c r="D92" s="170" t="s">
        <v>316</v>
      </c>
      <c r="E92" s="206" t="s">
        <v>213</v>
      </c>
      <c r="F92" s="200">
        <v>245</v>
      </c>
      <c r="G92" s="170" t="s">
        <v>171</v>
      </c>
      <c r="H92" s="170" t="s">
        <v>172</v>
      </c>
      <c r="I92" s="175" t="s">
        <v>480</v>
      </c>
      <c r="J92" s="175" t="s">
        <v>480</v>
      </c>
    </row>
    <row r="93" spans="1:10" x14ac:dyDescent="0.25">
      <c r="A93" s="257"/>
      <c r="B93" s="258" t="s">
        <v>227</v>
      </c>
      <c r="C93" s="259"/>
      <c r="D93" s="260" t="s">
        <v>20</v>
      </c>
      <c r="E93" s="261"/>
      <c r="F93" s="262">
        <f>SUM(F79:F92)</f>
        <v>8157</v>
      </c>
      <c r="G93" s="259"/>
      <c r="H93" s="259"/>
      <c r="I93" s="259"/>
      <c r="J93" s="263"/>
    </row>
    <row r="94" spans="1:10" x14ac:dyDescent="0.25">
      <c r="A94" s="264"/>
      <c r="B94" s="265" t="s">
        <v>227</v>
      </c>
      <c r="C94" s="266"/>
      <c r="D94" s="260" t="s">
        <v>8</v>
      </c>
      <c r="E94" s="261"/>
      <c r="F94" s="267">
        <f>AVERAGE(F79:F92)</f>
        <v>582.64285714285711</v>
      </c>
      <c r="G94" s="266"/>
      <c r="H94" s="266"/>
      <c r="I94" s="266"/>
      <c r="J94" s="268"/>
    </row>
    <row r="95" spans="1:10" s="5" customFormat="1" x14ac:dyDescent="0.25">
      <c r="A95" s="269"/>
      <c r="B95" s="270" t="s">
        <v>227</v>
      </c>
      <c r="C95" s="271"/>
      <c r="D95" s="260" t="s">
        <v>9</v>
      </c>
      <c r="E95" s="261"/>
      <c r="F95" s="267">
        <f>MEDIAN(F79:F92)</f>
        <v>707.5</v>
      </c>
      <c r="G95" s="271"/>
      <c r="H95" s="271"/>
      <c r="I95" s="271"/>
      <c r="J95" s="272"/>
    </row>
    <row r="96" spans="1:10" s="5" customFormat="1" x14ac:dyDescent="0.25">
      <c r="A96" s="4"/>
      <c r="B96" s="4"/>
      <c r="C96" s="151"/>
      <c r="D96" s="4"/>
      <c r="E96" s="4"/>
      <c r="F96" s="152"/>
      <c r="G96" s="4"/>
      <c r="H96" s="4"/>
      <c r="I96" s="4"/>
      <c r="J96" s="4"/>
    </row>
    <row r="97" spans="1:10" s="5" customFormat="1" x14ac:dyDescent="0.25">
      <c r="A97" s="4"/>
      <c r="B97" s="4"/>
      <c r="C97" s="151"/>
      <c r="D97" s="4"/>
      <c r="E97" s="4"/>
      <c r="F97" s="152"/>
      <c r="G97" s="4"/>
      <c r="H97" s="4"/>
      <c r="I97" s="4"/>
      <c r="J97" s="4"/>
    </row>
    <row r="98" spans="1:10" s="3" customFormat="1" x14ac:dyDescent="0.25">
      <c r="A98" s="154" t="s">
        <v>671</v>
      </c>
      <c r="B98" s="154"/>
      <c r="C98" s="246"/>
      <c r="D98" s="246"/>
      <c r="E98" s="246"/>
      <c r="F98" s="247"/>
      <c r="G98" s="246"/>
      <c r="H98" s="156"/>
      <c r="I98" s="156"/>
      <c r="J98" s="248"/>
    </row>
    <row r="99" spans="1:10" x14ac:dyDescent="0.25">
      <c r="A99" s="154"/>
      <c r="B99" s="154"/>
      <c r="C99" s="246"/>
      <c r="D99" s="246"/>
      <c r="E99" s="246"/>
      <c r="F99" s="247"/>
      <c r="G99" s="246"/>
      <c r="H99" s="248"/>
      <c r="I99" s="250" t="s">
        <v>16</v>
      </c>
      <c r="J99" s="22"/>
    </row>
    <row r="100" spans="1:10" s="251" customFormat="1" ht="38.25" x14ac:dyDescent="0.2">
      <c r="A100" s="252" t="s">
        <v>11</v>
      </c>
      <c r="B100" s="253" t="s">
        <v>17</v>
      </c>
      <c r="C100" s="252" t="s">
        <v>12</v>
      </c>
      <c r="D100" s="252" t="s">
        <v>13</v>
      </c>
      <c r="E100" s="252" t="s">
        <v>2</v>
      </c>
      <c r="F100" s="254" t="s">
        <v>5</v>
      </c>
      <c r="G100" s="252" t="s">
        <v>14</v>
      </c>
      <c r="H100" s="252" t="s">
        <v>15</v>
      </c>
      <c r="I100" s="255" t="s">
        <v>18</v>
      </c>
      <c r="J100" s="255" t="s">
        <v>19</v>
      </c>
    </row>
    <row r="101" spans="1:10" s="251" customFormat="1" x14ac:dyDescent="0.25">
      <c r="A101" s="170" t="s">
        <v>361</v>
      </c>
      <c r="B101" s="170" t="s">
        <v>486</v>
      </c>
      <c r="C101" s="170" t="s">
        <v>510</v>
      </c>
      <c r="D101" s="170" t="s">
        <v>160</v>
      </c>
      <c r="E101" s="199" t="s">
        <v>215</v>
      </c>
      <c r="F101" s="200">
        <v>239</v>
      </c>
      <c r="G101" s="170" t="s">
        <v>492</v>
      </c>
      <c r="H101" s="3" t="s">
        <v>497</v>
      </c>
      <c r="I101" s="175" t="s">
        <v>227</v>
      </c>
      <c r="J101" s="274" t="s">
        <v>227</v>
      </c>
    </row>
    <row r="102" spans="1:10" s="251" customFormat="1" x14ac:dyDescent="0.25">
      <c r="A102" s="170" t="s">
        <v>417</v>
      </c>
      <c r="B102" s="170" t="s">
        <v>487</v>
      </c>
      <c r="C102" s="170" t="s">
        <v>245</v>
      </c>
      <c r="D102" s="170" t="s">
        <v>165</v>
      </c>
      <c r="E102" s="199" t="s">
        <v>215</v>
      </c>
      <c r="F102" s="200">
        <v>469</v>
      </c>
      <c r="G102" s="170" t="s">
        <v>247</v>
      </c>
      <c r="H102" s="3" t="s">
        <v>248</v>
      </c>
      <c r="I102" s="175" t="s">
        <v>227</v>
      </c>
      <c r="J102" s="274" t="s">
        <v>227</v>
      </c>
    </row>
    <row r="103" spans="1:10" x14ac:dyDescent="0.25">
      <c r="A103" s="3" t="s">
        <v>364</v>
      </c>
      <c r="B103" s="3" t="s">
        <v>576</v>
      </c>
      <c r="C103" s="3" t="s">
        <v>529</v>
      </c>
      <c r="D103" s="3" t="s">
        <v>150</v>
      </c>
      <c r="E103" s="171" t="s">
        <v>215</v>
      </c>
      <c r="F103" s="212">
        <v>178</v>
      </c>
      <c r="G103" s="3" t="s">
        <v>605</v>
      </c>
      <c r="H103" s="3" t="s">
        <v>604</v>
      </c>
      <c r="I103" s="276" t="s">
        <v>227</v>
      </c>
      <c r="J103" s="276" t="s">
        <v>227</v>
      </c>
    </row>
    <row r="104" spans="1:10" x14ac:dyDescent="0.25">
      <c r="A104" s="170" t="s">
        <v>364</v>
      </c>
      <c r="B104" s="170" t="s">
        <v>488</v>
      </c>
      <c r="C104" s="170" t="s">
        <v>511</v>
      </c>
      <c r="D104" s="170" t="s">
        <v>150</v>
      </c>
      <c r="E104" s="199" t="s">
        <v>215</v>
      </c>
      <c r="F104" s="200">
        <v>176</v>
      </c>
      <c r="G104" s="170" t="s">
        <v>493</v>
      </c>
      <c r="H104" s="3" t="s">
        <v>498</v>
      </c>
      <c r="I104" s="175" t="s">
        <v>227</v>
      </c>
      <c r="J104" s="274" t="s">
        <v>227</v>
      </c>
    </row>
    <row r="105" spans="1:10" x14ac:dyDescent="0.25">
      <c r="A105" s="170" t="s">
        <v>485</v>
      </c>
      <c r="B105" s="170" t="s">
        <v>490</v>
      </c>
      <c r="C105" s="170" t="s">
        <v>481</v>
      </c>
      <c r="D105" s="170" t="s">
        <v>483</v>
      </c>
      <c r="E105" s="199" t="s">
        <v>215</v>
      </c>
      <c r="F105" s="200">
        <v>619</v>
      </c>
      <c r="G105" s="170" t="s">
        <v>494</v>
      </c>
      <c r="H105" s="3" t="s">
        <v>499</v>
      </c>
      <c r="I105" s="175" t="s">
        <v>227</v>
      </c>
      <c r="J105" s="274"/>
    </row>
    <row r="106" spans="1:10" x14ac:dyDescent="0.25">
      <c r="A106" s="170" t="s">
        <v>257</v>
      </c>
      <c r="B106" s="170" t="s">
        <v>491</v>
      </c>
      <c r="C106" s="170" t="s">
        <v>482</v>
      </c>
      <c r="D106" s="170" t="s">
        <v>484</v>
      </c>
      <c r="E106" s="199" t="s">
        <v>215</v>
      </c>
      <c r="F106" s="200">
        <v>26</v>
      </c>
      <c r="G106" s="170" t="s">
        <v>495</v>
      </c>
      <c r="H106" s="3" t="s">
        <v>500</v>
      </c>
      <c r="I106" s="175" t="s">
        <v>480</v>
      </c>
      <c r="J106" s="274"/>
    </row>
    <row r="107" spans="1:10" x14ac:dyDescent="0.25">
      <c r="A107" s="170" t="s">
        <v>166</v>
      </c>
      <c r="B107" s="170" t="s">
        <v>489</v>
      </c>
      <c r="C107" s="170" t="s">
        <v>246</v>
      </c>
      <c r="D107" s="170" t="s">
        <v>228</v>
      </c>
      <c r="E107" s="199" t="s">
        <v>215</v>
      </c>
      <c r="F107" s="200">
        <v>519</v>
      </c>
      <c r="G107" s="170" t="s">
        <v>496</v>
      </c>
      <c r="H107" s="277" t="s">
        <v>501</v>
      </c>
      <c r="I107" s="175" t="s">
        <v>480</v>
      </c>
      <c r="J107" s="274"/>
    </row>
    <row r="108" spans="1:10" x14ac:dyDescent="0.25">
      <c r="A108" s="257"/>
      <c r="B108" s="258"/>
      <c r="C108" s="259"/>
      <c r="D108" s="260" t="s">
        <v>20</v>
      </c>
      <c r="E108" s="261"/>
      <c r="F108" s="262">
        <f>SUM(F101:F107)</f>
        <v>2226</v>
      </c>
      <c r="G108" s="259"/>
      <c r="H108" s="259"/>
      <c r="I108" s="259"/>
      <c r="J108" s="263"/>
    </row>
    <row r="109" spans="1:10" s="5" customFormat="1" x14ac:dyDescent="0.25">
      <c r="A109" s="264"/>
      <c r="B109" s="265"/>
      <c r="C109" s="266"/>
      <c r="D109" s="260" t="s">
        <v>8</v>
      </c>
      <c r="E109" s="261"/>
      <c r="F109" s="267">
        <f>AVERAGE(F101:F104)</f>
        <v>265.5</v>
      </c>
      <c r="G109" s="266"/>
      <c r="H109" s="266"/>
      <c r="I109" s="266"/>
      <c r="J109" s="268"/>
    </row>
    <row r="110" spans="1:10" s="5" customFormat="1" x14ac:dyDescent="0.25">
      <c r="A110" s="269"/>
      <c r="B110" s="270"/>
      <c r="C110" s="271"/>
      <c r="D110" s="260" t="s">
        <v>9</v>
      </c>
      <c r="E110" s="261"/>
      <c r="F110" s="267">
        <f>MEDIAN(F101:F107)</f>
        <v>239</v>
      </c>
      <c r="G110" s="271"/>
      <c r="H110" s="271"/>
      <c r="I110" s="271"/>
      <c r="J110" s="272"/>
    </row>
    <row r="111" spans="1:10" s="5" customFormat="1" x14ac:dyDescent="0.25">
      <c r="A111" s="4"/>
      <c r="B111" s="4"/>
      <c r="C111" s="151"/>
      <c r="D111" s="4"/>
      <c r="E111" s="4"/>
      <c r="F111" s="152"/>
      <c r="G111" s="4"/>
      <c r="H111" s="4"/>
      <c r="I111" s="4"/>
      <c r="J111" s="4"/>
    </row>
    <row r="112" spans="1:10" s="3" customFormat="1" x14ac:dyDescent="0.25">
      <c r="C112" s="278"/>
      <c r="F112" s="273"/>
    </row>
    <row r="113" spans="1:10" s="3" customFormat="1" x14ac:dyDescent="0.25">
      <c r="A113" s="154" t="s">
        <v>672</v>
      </c>
      <c r="B113" s="154"/>
      <c r="C113" s="246"/>
      <c r="D113" s="246"/>
      <c r="E113" s="246"/>
      <c r="F113" s="247"/>
      <c r="G113" s="246"/>
      <c r="H113" s="156"/>
      <c r="I113" s="156"/>
      <c r="J113" s="248"/>
    </row>
    <row r="114" spans="1:10" s="251" customFormat="1" x14ac:dyDescent="0.25">
      <c r="A114" s="154"/>
      <c r="B114" s="154"/>
      <c r="C114" s="246"/>
      <c r="D114" s="246"/>
      <c r="E114" s="246"/>
      <c r="F114" s="247"/>
      <c r="G114" s="246"/>
      <c r="H114" s="248"/>
      <c r="I114" s="250" t="s">
        <v>16</v>
      </c>
      <c r="J114" s="22"/>
    </row>
    <row r="115" spans="1:10" s="251" customFormat="1" ht="38.25" x14ac:dyDescent="0.2">
      <c r="A115" s="252" t="s">
        <v>11</v>
      </c>
      <c r="B115" s="253" t="s">
        <v>17</v>
      </c>
      <c r="C115" s="252" t="s">
        <v>12</v>
      </c>
      <c r="D115" s="252" t="s">
        <v>13</v>
      </c>
      <c r="E115" s="252" t="s">
        <v>2</v>
      </c>
      <c r="F115" s="254" t="s">
        <v>5</v>
      </c>
      <c r="G115" s="252" t="s">
        <v>14</v>
      </c>
      <c r="H115" s="252" t="s">
        <v>227</v>
      </c>
      <c r="I115" s="255" t="s">
        <v>18</v>
      </c>
      <c r="J115" s="255" t="s">
        <v>19</v>
      </c>
    </row>
    <row r="116" spans="1:10" s="251" customFormat="1" x14ac:dyDescent="0.25">
      <c r="A116" s="170" t="s">
        <v>361</v>
      </c>
      <c r="B116" s="170" t="s">
        <v>537</v>
      </c>
      <c r="C116" s="170" t="s">
        <v>321</v>
      </c>
      <c r="D116" s="170" t="s">
        <v>160</v>
      </c>
      <c r="E116" s="199" t="s">
        <v>216</v>
      </c>
      <c r="F116" s="200">
        <v>14</v>
      </c>
      <c r="G116" s="170" t="s">
        <v>276</v>
      </c>
      <c r="H116" s="170" t="s">
        <v>282</v>
      </c>
      <c r="I116" s="175" t="s">
        <v>224</v>
      </c>
      <c r="J116" s="175" t="s">
        <v>227</v>
      </c>
    </row>
    <row r="117" spans="1:10" x14ac:dyDescent="0.25">
      <c r="A117" s="170" t="s">
        <v>361</v>
      </c>
      <c r="B117" s="170" t="s">
        <v>538</v>
      </c>
      <c r="C117" s="170" t="s">
        <v>512</v>
      </c>
      <c r="D117" s="170" t="s">
        <v>160</v>
      </c>
      <c r="E117" s="199" t="s">
        <v>216</v>
      </c>
      <c r="F117" s="200">
        <v>257</v>
      </c>
      <c r="G117" s="170" t="s">
        <v>607</v>
      </c>
      <c r="H117" s="170" t="s">
        <v>638</v>
      </c>
      <c r="I117" s="175" t="s">
        <v>227</v>
      </c>
      <c r="J117" s="175" t="s">
        <v>227</v>
      </c>
    </row>
    <row r="118" spans="1:10" x14ac:dyDescent="0.25">
      <c r="A118" s="170" t="s">
        <v>361</v>
      </c>
      <c r="B118" s="170" t="s">
        <v>539</v>
      </c>
      <c r="C118" s="170" t="s">
        <v>262</v>
      </c>
      <c r="D118" s="170" t="s">
        <v>160</v>
      </c>
      <c r="E118" s="199" t="s">
        <v>216</v>
      </c>
      <c r="F118" s="200">
        <v>249</v>
      </c>
      <c r="G118" s="170" t="s">
        <v>276</v>
      </c>
      <c r="H118" s="170" t="s">
        <v>282</v>
      </c>
      <c r="I118" s="175" t="s">
        <v>224</v>
      </c>
      <c r="J118" s="175" t="s">
        <v>227</v>
      </c>
    </row>
    <row r="119" spans="1:10" x14ac:dyDescent="0.25">
      <c r="A119" s="170" t="s">
        <v>180</v>
      </c>
      <c r="B119" s="170" t="s">
        <v>540</v>
      </c>
      <c r="C119" s="170" t="s">
        <v>263</v>
      </c>
      <c r="D119" s="170" t="s">
        <v>336</v>
      </c>
      <c r="E119" s="199" t="s">
        <v>216</v>
      </c>
      <c r="F119" s="200">
        <v>389</v>
      </c>
      <c r="G119" s="170" t="s">
        <v>192</v>
      </c>
      <c r="H119" s="170" t="s">
        <v>193</v>
      </c>
      <c r="I119" s="175" t="s">
        <v>227</v>
      </c>
      <c r="J119" s="175" t="s">
        <v>227</v>
      </c>
    </row>
    <row r="120" spans="1:10" x14ac:dyDescent="0.25">
      <c r="A120" s="170" t="s">
        <v>163</v>
      </c>
      <c r="B120" s="170" t="s">
        <v>541</v>
      </c>
      <c r="C120" s="170" t="s">
        <v>513</v>
      </c>
      <c r="D120" s="170" t="s">
        <v>292</v>
      </c>
      <c r="E120" s="199" t="s">
        <v>216</v>
      </c>
      <c r="F120" s="200">
        <v>345</v>
      </c>
      <c r="G120" s="170" t="s">
        <v>343</v>
      </c>
      <c r="H120" s="170" t="s">
        <v>346</v>
      </c>
      <c r="I120" s="175" t="s">
        <v>227</v>
      </c>
      <c r="J120" s="175" t="s">
        <v>227</v>
      </c>
    </row>
    <row r="121" spans="1:10" x14ac:dyDescent="0.25">
      <c r="A121" s="170" t="s">
        <v>362</v>
      </c>
      <c r="B121" s="170" t="s">
        <v>542</v>
      </c>
      <c r="C121" s="170" t="s">
        <v>322</v>
      </c>
      <c r="D121" s="170" t="s">
        <v>146</v>
      </c>
      <c r="E121" s="199" t="s">
        <v>217</v>
      </c>
      <c r="F121" s="200">
        <v>424</v>
      </c>
      <c r="G121" s="170" t="s">
        <v>608</v>
      </c>
      <c r="H121" s="170" t="s">
        <v>639</v>
      </c>
      <c r="I121" s="175" t="s">
        <v>224</v>
      </c>
      <c r="J121" s="175" t="s">
        <v>227</v>
      </c>
    </row>
    <row r="122" spans="1:10" x14ac:dyDescent="0.25">
      <c r="A122" s="170" t="s">
        <v>362</v>
      </c>
      <c r="B122" s="170" t="s">
        <v>543</v>
      </c>
      <c r="C122" s="170" t="s">
        <v>264</v>
      </c>
      <c r="D122" s="170" t="s">
        <v>146</v>
      </c>
      <c r="E122" s="199" t="s">
        <v>217</v>
      </c>
      <c r="F122" s="200">
        <v>381</v>
      </c>
      <c r="G122" s="170" t="s">
        <v>608</v>
      </c>
      <c r="H122" s="170" t="s">
        <v>639</v>
      </c>
      <c r="I122" s="175" t="s">
        <v>224</v>
      </c>
      <c r="J122" s="175" t="s">
        <v>227</v>
      </c>
    </row>
    <row r="123" spans="1:10" x14ac:dyDescent="0.25">
      <c r="A123" s="170" t="s">
        <v>362</v>
      </c>
      <c r="B123" s="170" t="s">
        <v>544</v>
      </c>
      <c r="C123" s="170" t="s">
        <v>514</v>
      </c>
      <c r="D123" s="170" t="s">
        <v>307</v>
      </c>
      <c r="E123" s="199" t="s">
        <v>217</v>
      </c>
      <c r="F123" s="200">
        <v>199</v>
      </c>
      <c r="G123" s="170" t="s">
        <v>309</v>
      </c>
      <c r="H123" s="170" t="s">
        <v>310</v>
      </c>
      <c r="I123" s="175" t="s">
        <v>224</v>
      </c>
      <c r="J123" s="175" t="s">
        <v>227</v>
      </c>
    </row>
    <row r="124" spans="1:10" x14ac:dyDescent="0.25">
      <c r="A124" s="170" t="s">
        <v>362</v>
      </c>
      <c r="B124" s="170" t="s">
        <v>545</v>
      </c>
      <c r="C124" s="170" t="s">
        <v>323</v>
      </c>
      <c r="D124" s="170" t="s">
        <v>146</v>
      </c>
      <c r="E124" s="199" t="s">
        <v>217</v>
      </c>
      <c r="F124" s="200">
        <v>210</v>
      </c>
      <c r="G124" s="170" t="s">
        <v>609</v>
      </c>
      <c r="H124" s="170" t="s">
        <v>640</v>
      </c>
      <c r="I124" s="175" t="s">
        <v>224</v>
      </c>
      <c r="J124" s="175" t="s">
        <v>227</v>
      </c>
    </row>
    <row r="125" spans="1:10" x14ac:dyDescent="0.25">
      <c r="A125" s="170" t="s">
        <v>362</v>
      </c>
      <c r="B125" s="170" t="s">
        <v>546</v>
      </c>
      <c r="C125" s="170" t="s">
        <v>265</v>
      </c>
      <c r="D125" s="170" t="s">
        <v>146</v>
      </c>
      <c r="E125" s="199" t="s">
        <v>217</v>
      </c>
      <c r="F125" s="200">
        <v>323</v>
      </c>
      <c r="G125" s="170" t="s">
        <v>610</v>
      </c>
      <c r="H125" s="170" t="s">
        <v>641</v>
      </c>
      <c r="I125" s="175" t="s">
        <v>224</v>
      </c>
      <c r="J125" s="175" t="s">
        <v>224</v>
      </c>
    </row>
    <row r="126" spans="1:10" x14ac:dyDescent="0.25">
      <c r="A126" s="170" t="s">
        <v>362</v>
      </c>
      <c r="B126" s="170" t="s">
        <v>547</v>
      </c>
      <c r="C126" s="170" t="s">
        <v>324</v>
      </c>
      <c r="D126" s="170" t="s">
        <v>146</v>
      </c>
      <c r="E126" s="199" t="s">
        <v>217</v>
      </c>
      <c r="F126" s="200">
        <v>302</v>
      </c>
      <c r="G126" s="170" t="s">
        <v>610</v>
      </c>
      <c r="H126" s="170" t="s">
        <v>641</v>
      </c>
      <c r="I126" s="175" t="s">
        <v>224</v>
      </c>
      <c r="J126" s="175" t="s">
        <v>224</v>
      </c>
    </row>
    <row r="127" spans="1:10" x14ac:dyDescent="0.25">
      <c r="A127" s="170" t="s">
        <v>362</v>
      </c>
      <c r="B127" s="170" t="s">
        <v>548</v>
      </c>
      <c r="C127" s="170" t="s">
        <v>515</v>
      </c>
      <c r="D127" s="170" t="s">
        <v>600</v>
      </c>
      <c r="E127" s="199" t="s">
        <v>272</v>
      </c>
      <c r="F127" s="200">
        <v>260</v>
      </c>
      <c r="G127" s="170" t="s">
        <v>301</v>
      </c>
      <c r="H127" s="170" t="s">
        <v>302</v>
      </c>
      <c r="I127" s="175" t="s">
        <v>224</v>
      </c>
      <c r="J127" s="175" t="s">
        <v>227</v>
      </c>
    </row>
    <row r="128" spans="1:10" x14ac:dyDescent="0.25">
      <c r="A128" s="170" t="s">
        <v>362</v>
      </c>
      <c r="B128" s="170" t="s">
        <v>549</v>
      </c>
      <c r="C128" s="170" t="s">
        <v>266</v>
      </c>
      <c r="D128" s="170" t="s">
        <v>146</v>
      </c>
      <c r="E128" s="199" t="s">
        <v>217</v>
      </c>
      <c r="F128" s="200">
        <v>389</v>
      </c>
      <c r="G128" s="170" t="s">
        <v>611</v>
      </c>
      <c r="H128" s="170" t="s">
        <v>642</v>
      </c>
      <c r="I128" s="175" t="s">
        <v>227</v>
      </c>
      <c r="J128" s="175" t="s">
        <v>227</v>
      </c>
    </row>
    <row r="129" spans="1:10" x14ac:dyDescent="0.25">
      <c r="A129" s="170" t="s">
        <v>157</v>
      </c>
      <c r="B129" s="170" t="s">
        <v>550</v>
      </c>
      <c r="C129" s="170" t="s">
        <v>516</v>
      </c>
      <c r="D129" s="170" t="s">
        <v>601</v>
      </c>
      <c r="E129" s="199" t="s">
        <v>217</v>
      </c>
      <c r="F129" s="200">
        <v>4</v>
      </c>
      <c r="G129" s="170" t="s">
        <v>427</v>
      </c>
      <c r="H129" s="170" t="s">
        <v>431</v>
      </c>
      <c r="I129" s="175" t="s">
        <v>224</v>
      </c>
      <c r="J129" s="175" t="s">
        <v>227</v>
      </c>
    </row>
    <row r="130" spans="1:10" x14ac:dyDescent="0.25">
      <c r="A130" s="170" t="s">
        <v>157</v>
      </c>
      <c r="B130" s="170" t="s">
        <v>551</v>
      </c>
      <c r="C130" s="170" t="s">
        <v>517</v>
      </c>
      <c r="D130" s="170" t="s">
        <v>424</v>
      </c>
      <c r="E130" s="199" t="s">
        <v>217</v>
      </c>
      <c r="F130" s="200">
        <v>61</v>
      </c>
      <c r="G130" s="170" t="s">
        <v>427</v>
      </c>
      <c r="H130" s="170" t="s">
        <v>431</v>
      </c>
      <c r="I130" s="175" t="s">
        <v>224</v>
      </c>
      <c r="J130" s="175" t="s">
        <v>227</v>
      </c>
    </row>
    <row r="131" spans="1:10" x14ac:dyDescent="0.25">
      <c r="A131" s="170" t="s">
        <v>157</v>
      </c>
      <c r="B131" s="170" t="s">
        <v>552</v>
      </c>
      <c r="C131" s="170" t="s">
        <v>518</v>
      </c>
      <c r="D131" s="170" t="s">
        <v>602</v>
      </c>
      <c r="E131" s="171" t="s">
        <v>217</v>
      </c>
      <c r="F131" s="200">
        <v>12</v>
      </c>
      <c r="G131" s="170" t="s">
        <v>427</v>
      </c>
      <c r="H131" s="170" t="s">
        <v>431</v>
      </c>
      <c r="I131" s="175" t="s">
        <v>224</v>
      </c>
      <c r="J131" s="175" t="s">
        <v>227</v>
      </c>
    </row>
    <row r="132" spans="1:10" x14ac:dyDescent="0.25">
      <c r="A132" s="170" t="s">
        <v>182</v>
      </c>
      <c r="B132" s="170" t="s">
        <v>553</v>
      </c>
      <c r="C132" s="170" t="s">
        <v>519</v>
      </c>
      <c r="D132" s="170" t="s">
        <v>293</v>
      </c>
      <c r="E132" s="171" t="s">
        <v>275</v>
      </c>
      <c r="F132" s="200">
        <v>253</v>
      </c>
      <c r="G132" s="170" t="s">
        <v>612</v>
      </c>
      <c r="H132" s="170" t="s">
        <v>643</v>
      </c>
      <c r="I132" s="175" t="s">
        <v>224</v>
      </c>
      <c r="J132" s="175" t="s">
        <v>227</v>
      </c>
    </row>
    <row r="133" spans="1:10" x14ac:dyDescent="0.25">
      <c r="A133" s="170" t="s">
        <v>159</v>
      </c>
      <c r="B133" s="170" t="s">
        <v>554</v>
      </c>
      <c r="C133" s="170" t="s">
        <v>267</v>
      </c>
      <c r="D133" s="170" t="s">
        <v>337</v>
      </c>
      <c r="E133" s="171" t="s">
        <v>273</v>
      </c>
      <c r="F133" s="200">
        <v>236</v>
      </c>
      <c r="G133" s="170" t="s">
        <v>277</v>
      </c>
      <c r="H133" s="170" t="s">
        <v>283</v>
      </c>
      <c r="I133" s="175" t="s">
        <v>227</v>
      </c>
      <c r="J133" s="175" t="s">
        <v>227</v>
      </c>
    </row>
    <row r="134" spans="1:10" x14ac:dyDescent="0.25">
      <c r="A134" s="170" t="s">
        <v>168</v>
      </c>
      <c r="B134" s="170" t="s">
        <v>555</v>
      </c>
      <c r="C134" s="170" t="s">
        <v>520</v>
      </c>
      <c r="D134" s="170" t="s">
        <v>167</v>
      </c>
      <c r="E134" s="171" t="s">
        <v>274</v>
      </c>
      <c r="F134" s="200">
        <v>151</v>
      </c>
      <c r="G134" s="170" t="s">
        <v>613</v>
      </c>
      <c r="H134" s="170" t="s">
        <v>644</v>
      </c>
      <c r="I134" s="175" t="s">
        <v>227</v>
      </c>
      <c r="J134" s="175" t="s">
        <v>227</v>
      </c>
    </row>
    <row r="135" spans="1:10" x14ac:dyDescent="0.25">
      <c r="A135" s="170" t="s">
        <v>168</v>
      </c>
      <c r="B135" s="170" t="s">
        <v>556</v>
      </c>
      <c r="C135" s="170" t="s">
        <v>268</v>
      </c>
      <c r="D135" s="170" t="s">
        <v>167</v>
      </c>
      <c r="E135" s="171" t="s">
        <v>274</v>
      </c>
      <c r="F135" s="200">
        <v>208</v>
      </c>
      <c r="G135" s="170" t="s">
        <v>614</v>
      </c>
      <c r="H135" s="170" t="s">
        <v>645</v>
      </c>
      <c r="I135" s="175" t="s">
        <v>227</v>
      </c>
      <c r="J135" s="175" t="s">
        <v>227</v>
      </c>
    </row>
    <row r="136" spans="1:10" x14ac:dyDescent="0.25">
      <c r="A136" s="170" t="s">
        <v>148</v>
      </c>
      <c r="B136" s="170" t="s">
        <v>557</v>
      </c>
      <c r="C136" s="170" t="s">
        <v>249</v>
      </c>
      <c r="D136" s="170" t="s">
        <v>147</v>
      </c>
      <c r="E136" s="171" t="s">
        <v>217</v>
      </c>
      <c r="F136" s="200">
        <v>388</v>
      </c>
      <c r="G136" s="170" t="s">
        <v>252</v>
      </c>
      <c r="H136" s="170" t="s">
        <v>284</v>
      </c>
      <c r="I136" s="175" t="s">
        <v>227</v>
      </c>
      <c r="J136" s="175" t="s">
        <v>227</v>
      </c>
    </row>
    <row r="137" spans="1:10" x14ac:dyDescent="0.25">
      <c r="A137" s="170" t="s">
        <v>148</v>
      </c>
      <c r="B137" s="170" t="s">
        <v>558</v>
      </c>
      <c r="C137" s="170" t="s">
        <v>521</v>
      </c>
      <c r="D137" s="170" t="s">
        <v>147</v>
      </c>
      <c r="E137" s="171" t="s">
        <v>217</v>
      </c>
      <c r="F137" s="200">
        <v>312</v>
      </c>
      <c r="G137" s="170" t="s">
        <v>615</v>
      </c>
      <c r="H137" s="3" t="s">
        <v>646</v>
      </c>
      <c r="I137" s="175" t="s">
        <v>227</v>
      </c>
      <c r="J137" s="175" t="s">
        <v>227</v>
      </c>
    </row>
    <row r="138" spans="1:10" x14ac:dyDescent="0.25">
      <c r="A138" s="170" t="s">
        <v>148</v>
      </c>
      <c r="B138" s="170" t="s">
        <v>559</v>
      </c>
      <c r="C138" s="170" t="s">
        <v>325</v>
      </c>
      <c r="D138" s="170" t="s">
        <v>147</v>
      </c>
      <c r="E138" s="171" t="s">
        <v>217</v>
      </c>
      <c r="F138" s="200">
        <v>164</v>
      </c>
      <c r="G138" s="170" t="s">
        <v>616</v>
      </c>
      <c r="H138" s="170" t="s">
        <v>647</v>
      </c>
      <c r="I138" s="175" t="s">
        <v>227</v>
      </c>
      <c r="J138" s="175" t="s">
        <v>227</v>
      </c>
    </row>
    <row r="139" spans="1:10" x14ac:dyDescent="0.25">
      <c r="A139" s="170" t="s">
        <v>148</v>
      </c>
      <c r="B139" s="170" t="s">
        <v>560</v>
      </c>
      <c r="C139" s="170" t="s">
        <v>522</v>
      </c>
      <c r="D139" s="170" t="s">
        <v>147</v>
      </c>
      <c r="E139" s="199" t="s">
        <v>217</v>
      </c>
      <c r="F139" s="200">
        <v>354</v>
      </c>
      <c r="G139" s="170" t="s">
        <v>617</v>
      </c>
      <c r="H139" s="170" t="s">
        <v>648</v>
      </c>
      <c r="I139" s="175" t="s">
        <v>227</v>
      </c>
      <c r="J139" s="175" t="s">
        <v>227</v>
      </c>
    </row>
    <row r="140" spans="1:10" x14ac:dyDescent="0.25">
      <c r="A140" s="170" t="s">
        <v>148</v>
      </c>
      <c r="B140" s="170" t="s">
        <v>561</v>
      </c>
      <c r="C140" s="170" t="s">
        <v>269</v>
      </c>
      <c r="D140" s="170" t="s">
        <v>147</v>
      </c>
      <c r="E140" s="171" t="s">
        <v>222</v>
      </c>
      <c r="F140" s="200">
        <v>102</v>
      </c>
      <c r="G140" s="170" t="s">
        <v>618</v>
      </c>
      <c r="H140" s="170" t="s">
        <v>649</v>
      </c>
      <c r="I140" s="175" t="s">
        <v>227</v>
      </c>
      <c r="J140" s="175" t="s">
        <v>227</v>
      </c>
    </row>
    <row r="141" spans="1:10" x14ac:dyDescent="0.25">
      <c r="A141" s="170" t="s">
        <v>148</v>
      </c>
      <c r="B141" s="170" t="s">
        <v>562</v>
      </c>
      <c r="C141" s="170" t="s">
        <v>523</v>
      </c>
      <c r="D141" s="170" t="s">
        <v>147</v>
      </c>
      <c r="E141" s="199" t="s">
        <v>217</v>
      </c>
      <c r="F141" s="200">
        <v>82</v>
      </c>
      <c r="G141" s="170" t="s">
        <v>619</v>
      </c>
      <c r="H141" s="170" t="s">
        <v>650</v>
      </c>
      <c r="I141" s="175" t="s">
        <v>227</v>
      </c>
      <c r="J141" s="175" t="s">
        <v>227</v>
      </c>
    </row>
    <row r="142" spans="1:10" x14ac:dyDescent="0.25">
      <c r="A142" s="170" t="s">
        <v>148</v>
      </c>
      <c r="B142" s="170" t="s">
        <v>563</v>
      </c>
      <c r="C142" s="170" t="s">
        <v>270</v>
      </c>
      <c r="D142" s="170" t="s">
        <v>147</v>
      </c>
      <c r="E142" s="171" t="s">
        <v>217</v>
      </c>
      <c r="F142" s="200">
        <v>258</v>
      </c>
      <c r="G142" s="170" t="s">
        <v>278</v>
      </c>
      <c r="H142" s="170" t="s">
        <v>347</v>
      </c>
      <c r="I142" s="175" t="s">
        <v>227</v>
      </c>
      <c r="J142" s="175" t="s">
        <v>227</v>
      </c>
    </row>
    <row r="143" spans="1:10" x14ac:dyDescent="0.25">
      <c r="A143" s="170" t="s">
        <v>148</v>
      </c>
      <c r="B143" s="170" t="s">
        <v>564</v>
      </c>
      <c r="C143" s="170" t="s">
        <v>524</v>
      </c>
      <c r="D143" s="170" t="s">
        <v>147</v>
      </c>
      <c r="E143" s="171" t="s">
        <v>217</v>
      </c>
      <c r="F143" s="200">
        <v>286</v>
      </c>
      <c r="G143" s="170" t="s">
        <v>620</v>
      </c>
      <c r="H143" s="170" t="s">
        <v>651</v>
      </c>
      <c r="I143" s="175" t="s">
        <v>227</v>
      </c>
      <c r="J143" s="175" t="s">
        <v>227</v>
      </c>
    </row>
    <row r="144" spans="1:10" x14ac:dyDescent="0.25">
      <c r="A144" s="170" t="s">
        <v>148</v>
      </c>
      <c r="B144" s="170" t="s">
        <v>565</v>
      </c>
      <c r="C144" s="170" t="s">
        <v>525</v>
      </c>
      <c r="D144" s="170" t="s">
        <v>147</v>
      </c>
      <c r="E144" s="171" t="s">
        <v>218</v>
      </c>
      <c r="F144" s="200">
        <v>368</v>
      </c>
      <c r="G144" s="170" t="s">
        <v>621</v>
      </c>
      <c r="H144" s="170" t="s">
        <v>652</v>
      </c>
      <c r="I144" s="175" t="s">
        <v>227</v>
      </c>
      <c r="J144" s="175" t="s">
        <v>227</v>
      </c>
    </row>
    <row r="145" spans="1:10" x14ac:dyDescent="0.25">
      <c r="A145" s="170" t="s">
        <v>148</v>
      </c>
      <c r="B145" s="170" t="s">
        <v>566</v>
      </c>
      <c r="C145" s="170" t="s">
        <v>526</v>
      </c>
      <c r="D145" s="170" t="s">
        <v>147</v>
      </c>
      <c r="E145" s="199" t="s">
        <v>217</v>
      </c>
      <c r="F145" s="200">
        <v>344</v>
      </c>
      <c r="G145" s="170" t="s">
        <v>622</v>
      </c>
      <c r="H145" s="170" t="s">
        <v>653</v>
      </c>
      <c r="I145" s="175" t="s">
        <v>227</v>
      </c>
      <c r="J145" s="175" t="s">
        <v>227</v>
      </c>
    </row>
    <row r="146" spans="1:10" x14ac:dyDescent="0.25">
      <c r="A146" s="170" t="s">
        <v>256</v>
      </c>
      <c r="B146" s="170" t="s">
        <v>567</v>
      </c>
      <c r="C146" s="170" t="s">
        <v>527</v>
      </c>
      <c r="D146" s="170" t="s">
        <v>603</v>
      </c>
      <c r="E146" s="199" t="s">
        <v>217</v>
      </c>
      <c r="F146" s="200">
        <v>32</v>
      </c>
      <c r="G146" s="170" t="s">
        <v>623</v>
      </c>
      <c r="H146" s="170" t="s">
        <v>654</v>
      </c>
      <c r="I146" s="175" t="s">
        <v>227</v>
      </c>
      <c r="J146" s="175" t="s">
        <v>227</v>
      </c>
    </row>
    <row r="147" spans="1:10" x14ac:dyDescent="0.25">
      <c r="A147" s="170" t="s">
        <v>178</v>
      </c>
      <c r="B147" s="170" t="s">
        <v>568</v>
      </c>
      <c r="C147" s="170" t="s">
        <v>250</v>
      </c>
      <c r="D147" s="170" t="s">
        <v>294</v>
      </c>
      <c r="E147" s="199" t="s">
        <v>222</v>
      </c>
      <c r="F147" s="200">
        <v>435</v>
      </c>
      <c r="G147" s="170" t="s">
        <v>624</v>
      </c>
      <c r="H147" s="170" t="s">
        <v>655</v>
      </c>
      <c r="I147" s="175" t="s">
        <v>227</v>
      </c>
      <c r="J147" s="175" t="s">
        <v>227</v>
      </c>
    </row>
    <row r="148" spans="1:10" x14ac:dyDescent="0.25">
      <c r="A148" s="170" t="s">
        <v>178</v>
      </c>
      <c r="B148" s="170" t="s">
        <v>569</v>
      </c>
      <c r="C148" s="170" t="s">
        <v>187</v>
      </c>
      <c r="D148" s="170" t="s">
        <v>338</v>
      </c>
      <c r="E148" s="220" t="s">
        <v>606</v>
      </c>
      <c r="F148" s="200">
        <v>285</v>
      </c>
      <c r="G148" s="170" t="s">
        <v>625</v>
      </c>
      <c r="H148" s="170" t="s">
        <v>656</v>
      </c>
      <c r="I148" s="175" t="s">
        <v>227</v>
      </c>
      <c r="J148" s="175" t="s">
        <v>227</v>
      </c>
    </row>
    <row r="149" spans="1:10" x14ac:dyDescent="0.25">
      <c r="A149" s="170" t="s">
        <v>178</v>
      </c>
      <c r="B149" s="170" t="s">
        <v>570</v>
      </c>
      <c r="C149" s="170" t="s">
        <v>191</v>
      </c>
      <c r="D149" s="170" t="s">
        <v>294</v>
      </c>
      <c r="E149" s="220" t="s">
        <v>223</v>
      </c>
      <c r="F149" s="200">
        <v>355</v>
      </c>
      <c r="G149" s="170" t="s">
        <v>626</v>
      </c>
      <c r="H149" s="170" t="s">
        <v>348</v>
      </c>
      <c r="I149" s="175" t="s">
        <v>224</v>
      </c>
      <c r="J149" s="175" t="s">
        <v>227</v>
      </c>
    </row>
    <row r="150" spans="1:10" x14ac:dyDescent="0.25">
      <c r="A150" s="170" t="s">
        <v>178</v>
      </c>
      <c r="B150" s="170" t="s">
        <v>571</v>
      </c>
      <c r="C150" s="170" t="s">
        <v>197</v>
      </c>
      <c r="D150" s="170" t="s">
        <v>339</v>
      </c>
      <c r="E150" s="171" t="s">
        <v>222</v>
      </c>
      <c r="F150" s="200">
        <v>387</v>
      </c>
      <c r="G150" s="170" t="s">
        <v>627</v>
      </c>
      <c r="H150" s="170" t="s">
        <v>657</v>
      </c>
      <c r="I150" s="175" t="s">
        <v>227</v>
      </c>
      <c r="J150" s="175" t="s">
        <v>227</v>
      </c>
    </row>
    <row r="151" spans="1:10" x14ac:dyDescent="0.25">
      <c r="A151" s="170" t="s">
        <v>364</v>
      </c>
      <c r="B151" s="170" t="s">
        <v>572</v>
      </c>
      <c r="C151" s="170" t="s">
        <v>271</v>
      </c>
      <c r="D151" s="170" t="s">
        <v>150</v>
      </c>
      <c r="E151" s="171" t="s">
        <v>216</v>
      </c>
      <c r="F151" s="200">
        <v>287</v>
      </c>
      <c r="G151" s="170" t="s">
        <v>279</v>
      </c>
      <c r="H151" s="170" t="s">
        <v>658</v>
      </c>
      <c r="I151" s="175" t="s">
        <v>227</v>
      </c>
      <c r="J151" s="175" t="s">
        <v>227</v>
      </c>
    </row>
    <row r="152" spans="1:10" x14ac:dyDescent="0.25">
      <c r="A152" s="170" t="s">
        <v>364</v>
      </c>
      <c r="B152" s="170" t="s">
        <v>573</v>
      </c>
      <c r="C152" s="170" t="s">
        <v>326</v>
      </c>
      <c r="D152" s="170" t="s">
        <v>150</v>
      </c>
      <c r="E152" s="171" t="s">
        <v>216</v>
      </c>
      <c r="F152" s="200">
        <v>332</v>
      </c>
      <c r="G152" s="170" t="s">
        <v>344</v>
      </c>
      <c r="H152" s="170" t="s">
        <v>349</v>
      </c>
      <c r="I152" s="175" t="s">
        <v>227</v>
      </c>
      <c r="J152" s="175" t="s">
        <v>227</v>
      </c>
    </row>
    <row r="153" spans="1:10" x14ac:dyDescent="0.25">
      <c r="A153" s="170" t="s">
        <v>364</v>
      </c>
      <c r="B153" s="170" t="s">
        <v>574</v>
      </c>
      <c r="C153" s="170" t="s">
        <v>528</v>
      </c>
      <c r="D153" s="170" t="s">
        <v>150</v>
      </c>
      <c r="E153" s="171" t="s">
        <v>216</v>
      </c>
      <c r="F153" s="200">
        <v>312</v>
      </c>
      <c r="G153" s="170" t="s">
        <v>628</v>
      </c>
      <c r="H153" s="170" t="s">
        <v>659</v>
      </c>
      <c r="I153" s="175" t="s">
        <v>227</v>
      </c>
      <c r="J153" s="175" t="s">
        <v>227</v>
      </c>
    </row>
    <row r="154" spans="1:10" x14ac:dyDescent="0.25">
      <c r="A154" s="170" t="s">
        <v>364</v>
      </c>
      <c r="B154" s="170" t="s">
        <v>575</v>
      </c>
      <c r="C154" s="170" t="s">
        <v>190</v>
      </c>
      <c r="D154" s="170" t="s">
        <v>150</v>
      </c>
      <c r="E154" s="171" t="s">
        <v>216</v>
      </c>
      <c r="F154" s="200">
        <v>293</v>
      </c>
      <c r="G154" s="170" t="s">
        <v>629</v>
      </c>
      <c r="H154" s="170" t="s">
        <v>660</v>
      </c>
      <c r="I154" s="175" t="s">
        <v>227</v>
      </c>
      <c r="J154" s="175" t="s">
        <v>227</v>
      </c>
    </row>
    <row r="155" spans="1:10" x14ac:dyDescent="0.25">
      <c r="A155" s="170" t="s">
        <v>364</v>
      </c>
      <c r="B155" s="170" t="s">
        <v>577</v>
      </c>
      <c r="C155" s="170" t="s">
        <v>327</v>
      </c>
      <c r="D155" s="170" t="s">
        <v>150</v>
      </c>
      <c r="E155" s="171" t="s">
        <v>216</v>
      </c>
      <c r="F155" s="200">
        <v>326</v>
      </c>
      <c r="G155" s="170" t="s">
        <v>345</v>
      </c>
      <c r="H155" s="170" t="s">
        <v>350</v>
      </c>
      <c r="I155" s="175" t="s">
        <v>227</v>
      </c>
      <c r="J155" s="175" t="s">
        <v>227</v>
      </c>
    </row>
    <row r="156" spans="1:10" x14ac:dyDescent="0.25">
      <c r="A156" s="170" t="s">
        <v>364</v>
      </c>
      <c r="B156" s="170" t="s">
        <v>578</v>
      </c>
      <c r="C156" s="170" t="s">
        <v>530</v>
      </c>
      <c r="D156" s="170" t="s">
        <v>150</v>
      </c>
      <c r="E156" s="171" t="s">
        <v>217</v>
      </c>
      <c r="F156" s="200">
        <v>442</v>
      </c>
      <c r="G156" s="170" t="s">
        <v>280</v>
      </c>
      <c r="H156" s="170" t="s">
        <v>285</v>
      </c>
      <c r="I156" s="175" t="s">
        <v>227</v>
      </c>
      <c r="J156" s="175" t="s">
        <v>227</v>
      </c>
    </row>
    <row r="157" spans="1:10" x14ac:dyDescent="0.25">
      <c r="A157" s="170" t="s">
        <v>184</v>
      </c>
      <c r="B157" s="170" t="s">
        <v>579</v>
      </c>
      <c r="C157" s="170" t="s">
        <v>531</v>
      </c>
      <c r="D157" s="170" t="s">
        <v>186</v>
      </c>
      <c r="E157" s="171" t="s">
        <v>216</v>
      </c>
      <c r="F157" s="200">
        <v>10</v>
      </c>
      <c r="G157" s="170" t="s">
        <v>630</v>
      </c>
      <c r="H157" s="170" t="s">
        <v>661</v>
      </c>
      <c r="I157" s="175" t="s">
        <v>224</v>
      </c>
      <c r="J157" s="175" t="s">
        <v>224</v>
      </c>
    </row>
    <row r="158" spans="1:10" x14ac:dyDescent="0.25">
      <c r="A158" s="170" t="s">
        <v>184</v>
      </c>
      <c r="B158" s="170" t="s">
        <v>580</v>
      </c>
      <c r="C158" s="170" t="s">
        <v>199</v>
      </c>
      <c r="D158" s="170" t="s">
        <v>186</v>
      </c>
      <c r="E158" s="171" t="s">
        <v>216</v>
      </c>
      <c r="F158" s="200">
        <v>296</v>
      </c>
      <c r="G158" s="170" t="s">
        <v>630</v>
      </c>
      <c r="H158" s="170" t="s">
        <v>661</v>
      </c>
      <c r="I158" s="175" t="s">
        <v>224</v>
      </c>
      <c r="J158" s="175" t="s">
        <v>227</v>
      </c>
    </row>
    <row r="159" spans="1:10" x14ac:dyDescent="0.25">
      <c r="A159" s="170" t="s">
        <v>149</v>
      </c>
      <c r="B159" s="170" t="s">
        <v>581</v>
      </c>
      <c r="C159" s="170" t="s">
        <v>328</v>
      </c>
      <c r="D159" s="170" t="s">
        <v>295</v>
      </c>
      <c r="E159" s="171" t="s">
        <v>216</v>
      </c>
      <c r="F159" s="200">
        <v>290</v>
      </c>
      <c r="G159" s="170" t="s">
        <v>185</v>
      </c>
      <c r="H159" s="170" t="s">
        <v>304</v>
      </c>
      <c r="I159" s="175" t="s">
        <v>224</v>
      </c>
      <c r="J159" s="175" t="s">
        <v>224</v>
      </c>
    </row>
    <row r="160" spans="1:10" x14ac:dyDescent="0.25">
      <c r="A160" s="170" t="s">
        <v>149</v>
      </c>
      <c r="B160" s="170" t="s">
        <v>582</v>
      </c>
      <c r="C160" s="170" t="s">
        <v>329</v>
      </c>
      <c r="D160" s="170" t="s">
        <v>295</v>
      </c>
      <c r="E160" s="171" t="s">
        <v>216</v>
      </c>
      <c r="F160" s="200">
        <v>301</v>
      </c>
      <c r="G160" s="170" t="s">
        <v>185</v>
      </c>
      <c r="H160" s="170" t="s">
        <v>304</v>
      </c>
      <c r="I160" s="175" t="s">
        <v>224</v>
      </c>
      <c r="J160" s="175" t="s">
        <v>224</v>
      </c>
    </row>
    <row r="161" spans="1:10" x14ac:dyDescent="0.25">
      <c r="A161" s="170" t="s">
        <v>149</v>
      </c>
      <c r="B161" s="170" t="s">
        <v>583</v>
      </c>
      <c r="C161" s="170" t="s">
        <v>330</v>
      </c>
      <c r="D161" s="170" t="s">
        <v>295</v>
      </c>
      <c r="E161" s="171" t="s">
        <v>216</v>
      </c>
      <c r="F161" s="200">
        <v>303</v>
      </c>
      <c r="G161" s="170" t="s">
        <v>185</v>
      </c>
      <c r="H161" s="170" t="s">
        <v>304</v>
      </c>
      <c r="I161" s="175" t="s">
        <v>224</v>
      </c>
      <c r="J161" s="175" t="s">
        <v>224</v>
      </c>
    </row>
    <row r="162" spans="1:10" x14ac:dyDescent="0.25">
      <c r="A162" s="170" t="s">
        <v>149</v>
      </c>
      <c r="B162" s="170" t="s">
        <v>584</v>
      </c>
      <c r="C162" s="170" t="s">
        <v>331</v>
      </c>
      <c r="D162" s="170" t="s">
        <v>295</v>
      </c>
      <c r="E162" s="171" t="s">
        <v>216</v>
      </c>
      <c r="F162" s="221">
        <v>5</v>
      </c>
      <c r="G162" s="170" t="s">
        <v>185</v>
      </c>
      <c r="H162" s="170" t="s">
        <v>304</v>
      </c>
      <c r="I162" s="175" t="s">
        <v>224</v>
      </c>
      <c r="J162" s="175" t="s">
        <v>224</v>
      </c>
    </row>
    <row r="163" spans="1:10" x14ac:dyDescent="0.25">
      <c r="A163" s="170" t="s">
        <v>149</v>
      </c>
      <c r="B163" s="170" t="s">
        <v>585</v>
      </c>
      <c r="C163" s="170" t="s">
        <v>332</v>
      </c>
      <c r="D163" s="170" t="s">
        <v>295</v>
      </c>
      <c r="E163" s="171" t="s">
        <v>216</v>
      </c>
      <c r="F163" s="200">
        <v>16</v>
      </c>
      <c r="G163" s="170" t="s">
        <v>185</v>
      </c>
      <c r="H163" s="170" t="s">
        <v>304</v>
      </c>
      <c r="I163" s="175" t="s">
        <v>224</v>
      </c>
      <c r="J163" s="175" t="s">
        <v>224</v>
      </c>
    </row>
    <row r="164" spans="1:10" x14ac:dyDescent="0.25">
      <c r="A164" s="170" t="s">
        <v>181</v>
      </c>
      <c r="B164" s="170" t="s">
        <v>586</v>
      </c>
      <c r="C164" s="170" t="s">
        <v>532</v>
      </c>
      <c r="D164" s="170" t="s">
        <v>296</v>
      </c>
      <c r="E164" s="171" t="s">
        <v>220</v>
      </c>
      <c r="F164" s="200">
        <v>192</v>
      </c>
      <c r="G164" s="170" t="s">
        <v>631</v>
      </c>
      <c r="H164" s="170" t="s">
        <v>662</v>
      </c>
      <c r="I164" s="175" t="s">
        <v>227</v>
      </c>
      <c r="J164" s="175" t="s">
        <v>227</v>
      </c>
    </row>
    <row r="165" spans="1:10" x14ac:dyDescent="0.25">
      <c r="A165" s="170" t="s">
        <v>181</v>
      </c>
      <c r="B165" s="170" t="s">
        <v>587</v>
      </c>
      <c r="C165" s="170" t="s">
        <v>533</v>
      </c>
      <c r="D165" s="170" t="s">
        <v>296</v>
      </c>
      <c r="E165" s="171" t="s">
        <v>221</v>
      </c>
      <c r="F165" s="200">
        <v>186</v>
      </c>
      <c r="G165" s="170" t="s">
        <v>281</v>
      </c>
      <c r="H165" s="170" t="s">
        <v>286</v>
      </c>
      <c r="I165" s="175" t="s">
        <v>227</v>
      </c>
      <c r="J165" s="175" t="s">
        <v>227</v>
      </c>
    </row>
    <row r="166" spans="1:10" x14ac:dyDescent="0.25">
      <c r="A166" s="170" t="s">
        <v>179</v>
      </c>
      <c r="B166" s="170" t="s">
        <v>588</v>
      </c>
      <c r="C166" s="170" t="s">
        <v>251</v>
      </c>
      <c r="D166" s="170" t="s">
        <v>340</v>
      </c>
      <c r="E166" s="171" t="s">
        <v>216</v>
      </c>
      <c r="F166" s="200">
        <v>212</v>
      </c>
      <c r="G166" s="170" t="s">
        <v>230</v>
      </c>
      <c r="H166" s="170" t="s">
        <v>231</v>
      </c>
      <c r="I166" s="175" t="s">
        <v>227</v>
      </c>
      <c r="J166" s="175" t="s">
        <v>227</v>
      </c>
    </row>
    <row r="167" spans="1:10" x14ac:dyDescent="0.25">
      <c r="A167" s="170" t="s">
        <v>183</v>
      </c>
      <c r="B167" s="170" t="s">
        <v>589</v>
      </c>
      <c r="C167" s="170" t="s">
        <v>333</v>
      </c>
      <c r="D167" s="170" t="s">
        <v>297</v>
      </c>
      <c r="E167" s="171" t="s">
        <v>216</v>
      </c>
      <c r="F167" s="200">
        <v>311</v>
      </c>
      <c r="G167" s="170" t="s">
        <v>632</v>
      </c>
      <c r="H167" s="170" t="s">
        <v>663</v>
      </c>
      <c r="I167" s="175" t="s">
        <v>227</v>
      </c>
      <c r="J167" s="175" t="s">
        <v>227</v>
      </c>
    </row>
    <row r="168" spans="1:10" x14ac:dyDescent="0.25">
      <c r="A168" s="170" t="s">
        <v>183</v>
      </c>
      <c r="B168" s="170" t="s">
        <v>590</v>
      </c>
      <c r="C168" s="170" t="s">
        <v>534</v>
      </c>
      <c r="D168" s="170" t="s">
        <v>297</v>
      </c>
      <c r="E168" s="171" t="s">
        <v>216</v>
      </c>
      <c r="F168" s="200">
        <v>307</v>
      </c>
      <c r="G168" s="170" t="s">
        <v>633</v>
      </c>
      <c r="H168" s="170" t="s">
        <v>664</v>
      </c>
      <c r="I168" s="175" t="s">
        <v>227</v>
      </c>
      <c r="J168" s="175" t="s">
        <v>227</v>
      </c>
    </row>
    <row r="169" spans="1:10" x14ac:dyDescent="0.25">
      <c r="A169" s="170" t="s">
        <v>183</v>
      </c>
      <c r="B169" s="170" t="s">
        <v>591</v>
      </c>
      <c r="C169" s="170" t="s">
        <v>196</v>
      </c>
      <c r="D169" s="170" t="s">
        <v>297</v>
      </c>
      <c r="E169" s="171" t="s">
        <v>216</v>
      </c>
      <c r="F169" s="200">
        <v>329</v>
      </c>
      <c r="G169" s="170" t="s">
        <v>194</v>
      </c>
      <c r="H169" s="170" t="s">
        <v>195</v>
      </c>
      <c r="I169" s="175" t="s">
        <v>227</v>
      </c>
      <c r="J169" s="175" t="s">
        <v>227</v>
      </c>
    </row>
    <row r="170" spans="1:10" x14ac:dyDescent="0.25">
      <c r="A170" s="170" t="s">
        <v>257</v>
      </c>
      <c r="B170" s="170" t="s">
        <v>592</v>
      </c>
      <c r="C170" s="170" t="s">
        <v>535</v>
      </c>
      <c r="D170" s="170" t="s">
        <v>315</v>
      </c>
      <c r="E170" s="171" t="s">
        <v>222</v>
      </c>
      <c r="F170" s="200">
        <v>434</v>
      </c>
      <c r="G170" s="170" t="s">
        <v>495</v>
      </c>
      <c r="H170" s="170" t="s">
        <v>500</v>
      </c>
      <c r="I170" s="175" t="s">
        <v>224</v>
      </c>
      <c r="J170" s="175" t="s">
        <v>227</v>
      </c>
    </row>
    <row r="171" spans="1:10" x14ac:dyDescent="0.25">
      <c r="A171" s="170" t="s">
        <v>365</v>
      </c>
      <c r="B171" s="170" t="s">
        <v>593</v>
      </c>
      <c r="C171" s="170" t="s">
        <v>334</v>
      </c>
      <c r="D171" s="170" t="s">
        <v>342</v>
      </c>
      <c r="E171" s="171" t="s">
        <v>216</v>
      </c>
      <c r="F171" s="200">
        <v>37</v>
      </c>
      <c r="G171" s="170" t="s">
        <v>634</v>
      </c>
      <c r="H171" s="170" t="s">
        <v>665</v>
      </c>
      <c r="I171" s="175" t="s">
        <v>227</v>
      </c>
      <c r="J171" s="175" t="s">
        <v>227</v>
      </c>
    </row>
    <row r="172" spans="1:10" x14ac:dyDescent="0.25">
      <c r="A172" s="170" t="s">
        <v>365</v>
      </c>
      <c r="B172" s="170" t="s">
        <v>594</v>
      </c>
      <c r="C172" s="170" t="s">
        <v>335</v>
      </c>
      <c r="D172" s="170" t="s">
        <v>299</v>
      </c>
      <c r="E172" s="171" t="s">
        <v>216</v>
      </c>
      <c r="F172" s="200">
        <v>304</v>
      </c>
      <c r="G172" s="170" t="s">
        <v>635</v>
      </c>
      <c r="H172" s="170" t="s">
        <v>666</v>
      </c>
      <c r="I172" s="175" t="s">
        <v>224</v>
      </c>
      <c r="J172" s="175" t="s">
        <v>227</v>
      </c>
    </row>
    <row r="173" spans="1:10" x14ac:dyDescent="0.25">
      <c r="A173" s="170" t="s">
        <v>365</v>
      </c>
      <c r="B173" s="170" t="s">
        <v>595</v>
      </c>
      <c r="C173" s="170" t="s">
        <v>536</v>
      </c>
      <c r="D173" s="170" t="s">
        <v>299</v>
      </c>
      <c r="E173" s="171" t="s">
        <v>216</v>
      </c>
      <c r="F173" s="200">
        <v>390</v>
      </c>
      <c r="G173" s="170" t="s">
        <v>636</v>
      </c>
      <c r="H173" s="170" t="s">
        <v>351</v>
      </c>
      <c r="I173" s="175" t="s">
        <v>227</v>
      </c>
      <c r="J173" s="175" t="s">
        <v>227</v>
      </c>
    </row>
    <row r="174" spans="1:10" x14ac:dyDescent="0.25">
      <c r="A174" s="170" t="s">
        <v>174</v>
      </c>
      <c r="B174" s="170" t="s">
        <v>596</v>
      </c>
      <c r="C174" s="170" t="s">
        <v>202</v>
      </c>
      <c r="D174" s="170" t="s">
        <v>316</v>
      </c>
      <c r="E174" s="171" t="s">
        <v>219</v>
      </c>
      <c r="F174" s="200">
        <v>166</v>
      </c>
      <c r="G174" s="170" t="s">
        <v>171</v>
      </c>
      <c r="H174" s="170" t="s">
        <v>172</v>
      </c>
      <c r="I174" s="175" t="s">
        <v>224</v>
      </c>
      <c r="J174" s="175" t="s">
        <v>224</v>
      </c>
    </row>
    <row r="175" spans="1:10" x14ac:dyDescent="0.25">
      <c r="A175" s="170" t="s">
        <v>174</v>
      </c>
      <c r="B175" s="170" t="s">
        <v>597</v>
      </c>
      <c r="C175" s="170" t="s">
        <v>173</v>
      </c>
      <c r="D175" s="170" t="s">
        <v>316</v>
      </c>
      <c r="E175" s="171" t="s">
        <v>275</v>
      </c>
      <c r="F175" s="200">
        <v>187</v>
      </c>
      <c r="G175" s="170" t="s">
        <v>171</v>
      </c>
      <c r="H175" s="170" t="s">
        <v>172</v>
      </c>
      <c r="I175" s="175" t="s">
        <v>224</v>
      </c>
      <c r="J175" s="175" t="s">
        <v>224</v>
      </c>
    </row>
    <row r="176" spans="1:10" x14ac:dyDescent="0.25">
      <c r="A176" s="170" t="s">
        <v>174</v>
      </c>
      <c r="B176" s="170" t="s">
        <v>598</v>
      </c>
      <c r="C176" s="170" t="s">
        <v>175</v>
      </c>
      <c r="D176" s="170" t="s">
        <v>316</v>
      </c>
      <c r="E176" s="171" t="s">
        <v>273</v>
      </c>
      <c r="F176" s="200">
        <v>164</v>
      </c>
      <c r="G176" s="170" t="s">
        <v>171</v>
      </c>
      <c r="H176" s="170" t="s">
        <v>172</v>
      </c>
      <c r="I176" s="175" t="s">
        <v>224</v>
      </c>
      <c r="J176" s="175" t="s">
        <v>224</v>
      </c>
    </row>
    <row r="177" spans="1:10" x14ac:dyDescent="0.25">
      <c r="A177" s="170" t="s">
        <v>366</v>
      </c>
      <c r="B177" s="170" t="s">
        <v>599</v>
      </c>
      <c r="C177" s="170" t="s">
        <v>502</v>
      </c>
      <c r="D177" s="170" t="s">
        <v>388</v>
      </c>
      <c r="E177" s="171" t="s">
        <v>216</v>
      </c>
      <c r="F177" s="200">
        <v>350</v>
      </c>
      <c r="G177" s="170" t="s">
        <v>637</v>
      </c>
      <c r="H177" s="170" t="s">
        <v>667</v>
      </c>
      <c r="I177" s="175" t="s">
        <v>227</v>
      </c>
      <c r="J177" s="175" t="s">
        <v>227</v>
      </c>
    </row>
    <row r="178" spans="1:10" x14ac:dyDescent="0.25">
      <c r="A178" s="257"/>
      <c r="B178" s="258"/>
      <c r="C178" s="259"/>
      <c r="D178" s="260" t="s">
        <v>20</v>
      </c>
      <c r="E178" s="261"/>
      <c r="F178" s="262">
        <f>SUM(F116:F177)</f>
        <v>15601</v>
      </c>
      <c r="G178" s="259"/>
      <c r="H178" s="259"/>
      <c r="I178" s="259"/>
      <c r="J178" s="263"/>
    </row>
    <row r="179" spans="1:10" x14ac:dyDescent="0.25">
      <c r="A179" s="264"/>
      <c r="B179" s="265"/>
      <c r="C179" s="266"/>
      <c r="D179" s="260" t="s">
        <v>8</v>
      </c>
      <c r="E179" s="261"/>
      <c r="F179" s="267">
        <f>AVERAGE(F116:F177)</f>
        <v>251.62903225806451</v>
      </c>
      <c r="G179" s="266"/>
      <c r="H179" s="266"/>
      <c r="I179" s="266"/>
      <c r="J179" s="268"/>
    </row>
    <row r="180" spans="1:10" s="5" customFormat="1" x14ac:dyDescent="0.25">
      <c r="A180" s="269"/>
      <c r="B180" s="270"/>
      <c r="C180" s="271"/>
      <c r="D180" s="260" t="s">
        <v>9</v>
      </c>
      <c r="E180" s="261"/>
      <c r="F180" s="267">
        <f>MEDIAN(F116:F177)</f>
        <v>288.5</v>
      </c>
      <c r="G180" s="271"/>
      <c r="H180" s="271"/>
      <c r="I180" s="271"/>
      <c r="J180" s="272"/>
    </row>
    <row r="181" spans="1:10" s="5" customFormat="1" x14ac:dyDescent="0.25">
      <c r="A181" s="4"/>
      <c r="B181" s="4"/>
      <c r="C181" s="151"/>
      <c r="D181" s="4"/>
      <c r="E181" s="4"/>
      <c r="F181" s="4" t="s">
        <v>227</v>
      </c>
      <c r="G181" s="4"/>
      <c r="H181" s="4"/>
      <c r="I181" s="4"/>
      <c r="J181" s="4"/>
    </row>
    <row r="182" spans="1:10" s="5" customFormat="1" x14ac:dyDescent="0.25">
      <c r="A182" s="4"/>
      <c r="B182" s="4"/>
      <c r="C182" s="151"/>
      <c r="D182" s="4"/>
      <c r="E182" s="4"/>
      <c r="F182" s="4"/>
      <c r="G182" s="4"/>
      <c r="H182" s="4"/>
      <c r="I182" s="4"/>
      <c r="J182" s="4"/>
    </row>
  </sheetData>
  <sheetProtection sheet="1" objects="1" scenarios="1"/>
  <mergeCells count="8">
    <mergeCell ref="I99:J99"/>
    <mergeCell ref="I114:J114"/>
    <mergeCell ref="D5:F5"/>
    <mergeCell ref="I18:J18"/>
    <mergeCell ref="I22:J22"/>
    <mergeCell ref="I51:J51"/>
    <mergeCell ref="I65:J65"/>
    <mergeCell ref="I77:J7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6B118-2D38-42D3-B82E-559ED11493B9}">
  <sheetPr>
    <pageSetUpPr fitToPage="1"/>
  </sheetPr>
  <dimension ref="A1:AJ199"/>
  <sheetViews>
    <sheetView workbookViewId="0">
      <pane ySplit="22" topLeftCell="A23" activePane="bottomLeft" state="frozen"/>
      <selection activeCell="A20" sqref="A20:XFD20"/>
      <selection pane="bottomLeft" activeCell="F15" sqref="F15"/>
    </sheetView>
  </sheetViews>
  <sheetFormatPr defaultRowHeight="15" x14ac:dyDescent="0.25"/>
  <cols>
    <col min="1" max="1" width="15" style="4" customWidth="1"/>
    <col min="2" max="2" width="47.140625" style="4" customWidth="1"/>
    <col min="3" max="4" width="13.7109375" style="4" customWidth="1"/>
    <col min="5" max="5" width="16.5703125" style="4" customWidth="1"/>
    <col min="6" max="8" width="9.140625" style="4"/>
    <col min="9" max="9" width="11.42578125" style="4" bestFit="1" customWidth="1"/>
    <col min="10" max="10" width="9.42578125" style="4" bestFit="1" customWidth="1"/>
    <col min="11" max="11" width="10.140625" style="4" bestFit="1" customWidth="1"/>
    <col min="12" max="16384" width="9.140625" style="4"/>
  </cols>
  <sheetData>
    <row r="1" spans="1:14" s="5" customFormat="1" ht="15.75" x14ac:dyDescent="0.25">
      <c r="A1" s="2" t="s">
        <v>354</v>
      </c>
      <c r="B1" s="3"/>
      <c r="C1" s="4"/>
      <c r="D1" s="4"/>
      <c r="E1" s="279"/>
      <c r="F1" s="4"/>
      <c r="G1" s="4"/>
      <c r="H1" s="4"/>
      <c r="J1" s="280"/>
    </row>
    <row r="2" spans="1:14" s="161" customFormat="1" ht="15.75" x14ac:dyDescent="0.25">
      <c r="A2" s="2" t="s">
        <v>21</v>
      </c>
      <c r="E2" s="281"/>
      <c r="I2" s="282"/>
      <c r="J2" s="283"/>
    </row>
    <row r="3" spans="1:14" s="1" customFormat="1" ht="12.75" x14ac:dyDescent="0.2">
      <c r="A3" s="284" t="s">
        <v>22</v>
      </c>
      <c r="D3" s="13"/>
      <c r="E3" s="285"/>
      <c r="F3" s="13"/>
      <c r="G3" s="13"/>
      <c r="I3" s="286"/>
      <c r="J3" s="287"/>
    </row>
    <row r="4" spans="1:14" s="1" customFormat="1" ht="12.75" x14ac:dyDescent="0.2">
      <c r="A4" s="284"/>
      <c r="D4" s="13"/>
      <c r="E4" s="285"/>
      <c r="F4" s="13"/>
      <c r="G4" s="13"/>
      <c r="I4" s="286"/>
      <c r="J4" s="287"/>
    </row>
    <row r="5" spans="1:14" s="1" customFormat="1" ht="12.75" x14ac:dyDescent="0.2">
      <c r="A5" s="284" t="s">
        <v>23</v>
      </c>
      <c r="D5" s="13"/>
      <c r="E5" s="285"/>
      <c r="F5" s="13"/>
      <c r="G5" s="13"/>
      <c r="I5" s="286"/>
      <c r="J5" s="287"/>
    </row>
    <row r="6" spans="1:14" s="1" customFormat="1" ht="12.75" x14ac:dyDescent="0.2">
      <c r="A6" s="284" t="s">
        <v>24</v>
      </c>
      <c r="D6" s="13"/>
      <c r="E6" s="285"/>
      <c r="F6" s="13"/>
      <c r="G6" s="13"/>
      <c r="I6" s="286"/>
      <c r="J6" s="287"/>
    </row>
    <row r="7" spans="1:14" s="1" customFormat="1" ht="12.75" x14ac:dyDescent="0.2">
      <c r="A7" s="284" t="s">
        <v>25</v>
      </c>
      <c r="D7" s="13"/>
      <c r="E7" s="285"/>
      <c r="F7" s="13"/>
      <c r="G7" s="13"/>
      <c r="I7" s="286"/>
      <c r="J7" s="287"/>
    </row>
    <row r="8" spans="1:14" s="1" customFormat="1" ht="12.75" x14ac:dyDescent="0.2">
      <c r="E8" s="288"/>
      <c r="I8" s="286"/>
      <c r="J8" s="287"/>
    </row>
    <row r="9" spans="1:14" s="1" customFormat="1" ht="28.5" customHeight="1" x14ac:dyDescent="0.25">
      <c r="A9" s="14" t="s">
        <v>4</v>
      </c>
      <c r="B9" s="289"/>
      <c r="C9" s="290" t="s">
        <v>26</v>
      </c>
      <c r="D9" s="25"/>
      <c r="E9" s="227" t="s">
        <v>27</v>
      </c>
      <c r="F9" s="291"/>
      <c r="G9" s="292"/>
      <c r="H9" s="291" t="s">
        <v>28</v>
      </c>
      <c r="I9" s="21"/>
      <c r="J9" s="21"/>
      <c r="K9" s="293"/>
    </row>
    <row r="10" spans="1:14" s="1" customFormat="1" ht="38.25" x14ac:dyDescent="0.2">
      <c r="B10" s="294" t="s">
        <v>6</v>
      </c>
      <c r="C10" s="229" t="s">
        <v>29</v>
      </c>
      <c r="D10" s="229" t="s">
        <v>30</v>
      </c>
      <c r="E10" s="295" t="s">
        <v>31</v>
      </c>
      <c r="F10" s="296" t="s">
        <v>234</v>
      </c>
      <c r="G10" s="297" t="s">
        <v>33</v>
      </c>
      <c r="H10" s="298" t="s">
        <v>31</v>
      </c>
      <c r="I10" s="299" t="s">
        <v>234</v>
      </c>
      <c r="J10" s="300" t="s">
        <v>33</v>
      </c>
      <c r="K10" s="301" t="s">
        <v>34</v>
      </c>
    </row>
    <row r="11" spans="1:14" s="1" customFormat="1" x14ac:dyDescent="0.25">
      <c r="B11" s="34" t="s">
        <v>290</v>
      </c>
      <c r="C11" s="302">
        <v>12</v>
      </c>
      <c r="D11" s="41">
        <v>0.57099999999999995</v>
      </c>
      <c r="E11" s="303">
        <v>17.62</v>
      </c>
      <c r="F11" s="303">
        <v>725.48</v>
      </c>
      <c r="G11" s="304">
        <v>0.84</v>
      </c>
      <c r="H11" s="305">
        <v>10.41</v>
      </c>
      <c r="I11" s="306">
        <v>725.48</v>
      </c>
      <c r="J11" s="306">
        <v>0.64619000000000004</v>
      </c>
      <c r="K11" s="307">
        <f>F50/I50</f>
        <v>0.59080590238365482</v>
      </c>
    </row>
    <row r="12" spans="1:14" s="1" customFormat="1" x14ac:dyDescent="0.25">
      <c r="B12" s="34" t="s">
        <v>668</v>
      </c>
      <c r="C12" s="302">
        <v>1</v>
      </c>
      <c r="D12" s="41">
        <v>0.16700000000000001</v>
      </c>
      <c r="E12" s="303">
        <v>6.29</v>
      </c>
      <c r="F12" s="303">
        <v>168.04</v>
      </c>
      <c r="G12" s="304">
        <v>1.05</v>
      </c>
      <c r="H12" s="305">
        <v>0.5</v>
      </c>
      <c r="I12" s="306">
        <v>168.04</v>
      </c>
      <c r="J12" s="306">
        <v>0.28000000000000003</v>
      </c>
      <c r="K12" s="307">
        <f>F66/I66</f>
        <v>7.9491255961844198E-2</v>
      </c>
      <c r="M12" s="308"/>
    </row>
    <row r="13" spans="1:14" s="1" customFormat="1" x14ac:dyDescent="0.25">
      <c r="B13" s="34" t="s">
        <v>669</v>
      </c>
      <c r="C13" s="302">
        <v>0</v>
      </c>
      <c r="D13" s="41">
        <v>0</v>
      </c>
      <c r="E13" s="303">
        <v>3.4</v>
      </c>
      <c r="F13" s="303">
        <v>155.59</v>
      </c>
      <c r="G13" s="304">
        <v>0.85</v>
      </c>
      <c r="H13" s="305">
        <v>0</v>
      </c>
      <c r="I13" s="306">
        <v>155.59</v>
      </c>
      <c r="J13" s="306">
        <v>0.214</v>
      </c>
      <c r="K13" s="307">
        <f>F80/I80</f>
        <v>0</v>
      </c>
    </row>
    <row r="14" spans="1:14" s="1" customFormat="1" x14ac:dyDescent="0.25">
      <c r="B14" s="34" t="s">
        <v>673</v>
      </c>
      <c r="C14" s="302">
        <v>11</v>
      </c>
      <c r="D14" s="41">
        <v>0.78600000000000003</v>
      </c>
      <c r="E14" s="303">
        <v>17.809999999999999</v>
      </c>
      <c r="F14" s="303">
        <v>458</v>
      </c>
      <c r="G14" s="304">
        <v>1.27</v>
      </c>
      <c r="H14" s="305">
        <v>9.3699999999999992</v>
      </c>
      <c r="I14" s="306">
        <v>458</v>
      </c>
      <c r="J14" s="306">
        <v>0.5333</v>
      </c>
      <c r="K14" s="307">
        <f>F104/I104</f>
        <v>0.52610892756878158</v>
      </c>
    </row>
    <row r="15" spans="1:14" s="1" customFormat="1" x14ac:dyDescent="0.25">
      <c r="B15" s="34" t="s">
        <v>671</v>
      </c>
      <c r="C15" s="302">
        <v>3</v>
      </c>
      <c r="D15" s="41">
        <v>0.42899999999999999</v>
      </c>
      <c r="E15" s="303">
        <v>8.02</v>
      </c>
      <c r="F15" s="303">
        <v>277.56</v>
      </c>
      <c r="G15" s="304">
        <v>1.1499999999999999</v>
      </c>
      <c r="H15" s="305">
        <v>2.4</v>
      </c>
      <c r="I15" s="309">
        <v>277.56</v>
      </c>
      <c r="J15" s="306">
        <v>0.33329999999999999</v>
      </c>
      <c r="K15" s="307">
        <f>F121/I121</f>
        <v>0.29925187032418954</v>
      </c>
    </row>
    <row r="16" spans="1:14" s="1" customFormat="1" x14ac:dyDescent="0.25">
      <c r="B16" s="34" t="s">
        <v>672</v>
      </c>
      <c r="C16" s="302">
        <v>26</v>
      </c>
      <c r="D16" s="41">
        <v>0.41899999999999998</v>
      </c>
      <c r="E16" s="303">
        <v>60.01</v>
      </c>
      <c r="F16" s="1">
        <v>259.97000000000003</v>
      </c>
      <c r="G16" s="304">
        <v>0.97</v>
      </c>
      <c r="H16" s="305">
        <v>13.55</v>
      </c>
      <c r="I16" s="309">
        <v>259.97000000000003</v>
      </c>
      <c r="J16" s="306">
        <v>0.18</v>
      </c>
      <c r="K16" s="307">
        <f>F193/I193</f>
        <v>0.2257957007165472</v>
      </c>
      <c r="N16" s="287"/>
    </row>
    <row r="17" spans="1:13" s="1" customFormat="1" ht="12.75" x14ac:dyDescent="0.2">
      <c r="A17" s="1" t="s">
        <v>227</v>
      </c>
      <c r="B17" s="43" t="s">
        <v>674</v>
      </c>
      <c r="C17" s="310">
        <f>SUM(C11:C16)</f>
        <v>53</v>
      </c>
      <c r="D17" s="311">
        <v>0.46899999999999997</v>
      </c>
      <c r="E17" s="312">
        <f>SUM(E11:E16)</f>
        <v>113.15</v>
      </c>
      <c r="F17" s="312">
        <v>356.63</v>
      </c>
      <c r="G17" s="313">
        <v>1.01</v>
      </c>
      <c r="H17" s="314">
        <f>SUM(H11:H16)</f>
        <v>36.230000000000004</v>
      </c>
      <c r="I17" s="315">
        <v>1113.8</v>
      </c>
      <c r="J17" s="315">
        <v>3.15</v>
      </c>
      <c r="K17" s="316">
        <v>0.32019999999999998</v>
      </c>
    </row>
    <row r="18" spans="1:13" s="1" customFormat="1" ht="12.75" x14ac:dyDescent="0.2">
      <c r="C18" s="1" t="s">
        <v>227</v>
      </c>
      <c r="E18" s="288"/>
      <c r="I18" s="286"/>
      <c r="J18" s="287" t="s">
        <v>227</v>
      </c>
    </row>
    <row r="19" spans="1:13" s="1" customFormat="1" ht="12.75" x14ac:dyDescent="0.2">
      <c r="A19" s="14" t="s">
        <v>10</v>
      </c>
      <c r="E19" s="288"/>
      <c r="I19" s="286"/>
      <c r="J19" s="287"/>
      <c r="M19" s="1" t="s">
        <v>227</v>
      </c>
    </row>
    <row r="20" spans="1:13" s="74" customFormat="1" ht="14.45" customHeight="1" x14ac:dyDescent="0.25">
      <c r="A20" s="317"/>
      <c r="B20" s="318"/>
      <c r="C20" s="318"/>
      <c r="D20" s="318"/>
      <c r="E20" s="239" t="s">
        <v>35</v>
      </c>
      <c r="F20" s="319"/>
      <c r="G20" s="319"/>
      <c r="H20" s="319"/>
      <c r="I20" s="320"/>
      <c r="J20" s="321" t="s">
        <v>32</v>
      </c>
      <c r="K20" s="240"/>
    </row>
    <row r="21" spans="1:13" s="74" customFormat="1" ht="38.25" x14ac:dyDescent="0.2">
      <c r="A21" s="322" t="s">
        <v>11</v>
      </c>
      <c r="B21" s="322" t="s">
        <v>12</v>
      </c>
      <c r="C21" s="322" t="s">
        <v>2</v>
      </c>
      <c r="D21" s="322" t="s">
        <v>5</v>
      </c>
      <c r="E21" s="244" t="s">
        <v>36</v>
      </c>
      <c r="F21" s="323" t="s">
        <v>0</v>
      </c>
      <c r="G21" s="323" t="s">
        <v>38</v>
      </c>
      <c r="H21" s="324" t="s">
        <v>37</v>
      </c>
      <c r="I21" s="324" t="s">
        <v>39</v>
      </c>
      <c r="J21" s="325" t="s">
        <v>40</v>
      </c>
      <c r="K21" s="326" t="s">
        <v>39</v>
      </c>
    </row>
    <row r="22" spans="1:13" s="74" customFormat="1" ht="12.75" x14ac:dyDescent="0.2">
      <c r="A22" s="327"/>
      <c r="B22" s="328"/>
      <c r="C22" s="329" t="s">
        <v>41</v>
      </c>
      <c r="D22" s="330">
        <v>114</v>
      </c>
      <c r="E22" s="330">
        <f>+E28+E59+E75+E89+E113+E130</f>
        <v>113</v>
      </c>
      <c r="F22" s="330">
        <f>+F28+F59+F75+F89+F113+F130</f>
        <v>114</v>
      </c>
      <c r="G22" s="330">
        <f>+F28+F59+F75+F89+F113+F130</f>
        <v>114</v>
      </c>
      <c r="H22" s="330">
        <f>+F28+F59+F75+F89+F113+F130</f>
        <v>114</v>
      </c>
      <c r="I22" s="330">
        <f>+F28+F59+F75+F89+F113+F130</f>
        <v>114</v>
      </c>
      <c r="J22" s="330">
        <f>+J28+J59+J75+J89+J113+J130</f>
        <v>114</v>
      </c>
      <c r="K22" s="330">
        <f>+J28+J59+J75+J89+J113+J130</f>
        <v>114</v>
      </c>
    </row>
    <row r="23" spans="1:13" s="1" customFormat="1" ht="12.75" x14ac:dyDescent="0.2">
      <c r="E23" s="288"/>
      <c r="F23" s="331"/>
      <c r="G23" s="331"/>
      <c r="H23" s="331"/>
      <c r="I23" s="331"/>
      <c r="J23" s="287"/>
    </row>
    <row r="24" spans="1:13" s="1" customFormat="1" ht="12.75" x14ac:dyDescent="0.2">
      <c r="E24" s="288"/>
      <c r="F24" s="331"/>
      <c r="G24" s="331"/>
      <c r="H24" s="331"/>
      <c r="I24" s="331"/>
      <c r="J24" s="287"/>
    </row>
    <row r="25" spans="1:13" s="161" customFormat="1" ht="13.15" customHeight="1" x14ac:dyDescent="0.2">
      <c r="A25" s="154" t="s">
        <v>290</v>
      </c>
      <c r="B25" s="246"/>
      <c r="C25" s="246"/>
      <c r="D25" s="246"/>
      <c r="E25" s="332"/>
      <c r="F25" s="333"/>
      <c r="G25" s="334"/>
      <c r="H25" s="334"/>
      <c r="I25" s="334"/>
      <c r="J25" s="335"/>
      <c r="K25" s="336"/>
    </row>
    <row r="26" spans="1:13" s="74" customFormat="1" x14ac:dyDescent="0.25">
      <c r="A26" s="337"/>
      <c r="B26" s="338"/>
      <c r="C26" s="338"/>
      <c r="D26" s="338"/>
      <c r="E26" s="339"/>
      <c r="F26" s="250" t="s">
        <v>42</v>
      </c>
      <c r="G26" s="21"/>
      <c r="H26" s="21"/>
      <c r="I26" s="22"/>
      <c r="J26" s="340" t="s">
        <v>32</v>
      </c>
      <c r="K26" s="293"/>
    </row>
    <row r="27" spans="1:13" s="74" customFormat="1" ht="38.25" x14ac:dyDescent="0.2">
      <c r="A27" s="162" t="s">
        <v>11</v>
      </c>
      <c r="B27" s="162" t="s">
        <v>12</v>
      </c>
      <c r="C27" s="162" t="s">
        <v>2</v>
      </c>
      <c r="D27" s="162" t="s">
        <v>5</v>
      </c>
      <c r="E27" s="341" t="s">
        <v>36</v>
      </c>
      <c r="F27" s="342" t="s">
        <v>0</v>
      </c>
      <c r="G27" s="343" t="s">
        <v>38</v>
      </c>
      <c r="H27" s="343" t="s">
        <v>37</v>
      </c>
      <c r="I27" s="343" t="s">
        <v>39</v>
      </c>
      <c r="J27" s="344" t="s">
        <v>40</v>
      </c>
      <c r="K27" s="345" t="s">
        <v>39</v>
      </c>
    </row>
    <row r="28" spans="1:13" s="74" customFormat="1" x14ac:dyDescent="0.25">
      <c r="A28" s="346" t="s">
        <v>41</v>
      </c>
      <c r="B28" s="347"/>
      <c r="C28" s="348"/>
      <c r="D28" s="349">
        <v>21</v>
      </c>
      <c r="E28" s="349">
        <v>21</v>
      </c>
      <c r="F28" s="349">
        <v>21</v>
      </c>
      <c r="G28" s="349">
        <v>21</v>
      </c>
      <c r="H28" s="349">
        <v>21</v>
      </c>
      <c r="I28" s="349">
        <v>21</v>
      </c>
      <c r="J28" s="349">
        <v>21</v>
      </c>
      <c r="K28" s="349">
        <v>21</v>
      </c>
    </row>
    <row r="29" spans="1:13" x14ac:dyDescent="0.25">
      <c r="A29" s="170" t="s">
        <v>361</v>
      </c>
      <c r="B29" s="170" t="s">
        <v>253</v>
      </c>
      <c r="C29" s="171" t="s">
        <v>209</v>
      </c>
      <c r="D29" s="173">
        <v>1092</v>
      </c>
      <c r="E29" s="175" t="s">
        <v>224</v>
      </c>
      <c r="F29" s="350">
        <v>1</v>
      </c>
      <c r="G29" s="350">
        <v>0</v>
      </c>
      <c r="H29" s="350">
        <v>0</v>
      </c>
      <c r="I29" s="350">
        <v>1</v>
      </c>
      <c r="J29" s="207">
        <f>1092/1</f>
        <v>1092</v>
      </c>
      <c r="K29" s="207">
        <f>1092/1</f>
        <v>1092</v>
      </c>
      <c r="L29" s="351"/>
    </row>
    <row r="30" spans="1:13" x14ac:dyDescent="0.25">
      <c r="A30" s="170" t="s">
        <v>163</v>
      </c>
      <c r="B30" s="170" t="s">
        <v>162</v>
      </c>
      <c r="C30" s="171" t="s">
        <v>209</v>
      </c>
      <c r="D30" s="173">
        <v>220</v>
      </c>
      <c r="E30" s="175" t="s">
        <v>224</v>
      </c>
      <c r="F30" s="352">
        <v>0</v>
      </c>
      <c r="G30" s="352">
        <v>0.63</v>
      </c>
      <c r="H30" s="352">
        <v>0</v>
      </c>
      <c r="I30" s="352">
        <v>0.63</v>
      </c>
      <c r="J30" s="353">
        <v>0</v>
      </c>
      <c r="K30" s="353">
        <f>220/0.63</f>
        <v>349.20634920634922</v>
      </c>
      <c r="L30" s="351"/>
    </row>
    <row r="31" spans="1:13" x14ac:dyDescent="0.25">
      <c r="A31" s="170" t="s">
        <v>156</v>
      </c>
      <c r="B31" s="170" t="s">
        <v>236</v>
      </c>
      <c r="C31" s="171" t="s">
        <v>209</v>
      </c>
      <c r="D31" s="173">
        <v>153</v>
      </c>
      <c r="E31" s="175" t="s">
        <v>224</v>
      </c>
      <c r="F31" s="352">
        <v>0.52</v>
      </c>
      <c r="G31" s="352">
        <v>0.39</v>
      </c>
      <c r="H31" s="352">
        <v>0</v>
      </c>
      <c r="I31" s="352">
        <v>0.91</v>
      </c>
      <c r="J31" s="207">
        <f>153/0.52</f>
        <v>294.23076923076923</v>
      </c>
      <c r="K31" s="207">
        <f>153/0.91</f>
        <v>168.13186813186812</v>
      </c>
      <c r="L31" s="351"/>
    </row>
    <row r="32" spans="1:13" x14ac:dyDescent="0.25">
      <c r="A32" s="170" t="s">
        <v>362</v>
      </c>
      <c r="B32" s="170" t="s">
        <v>145</v>
      </c>
      <c r="C32" s="171" t="s">
        <v>209</v>
      </c>
      <c r="D32" s="173">
        <v>1152</v>
      </c>
      <c r="E32" s="175" t="s">
        <v>224</v>
      </c>
      <c r="F32" s="352">
        <v>1</v>
      </c>
      <c r="G32" s="352">
        <v>1</v>
      </c>
      <c r="H32" s="352">
        <v>0</v>
      </c>
      <c r="I32" s="352">
        <v>2</v>
      </c>
      <c r="J32" s="354">
        <f>1152/1</f>
        <v>1152</v>
      </c>
      <c r="K32" s="354">
        <f>1152/2</f>
        <v>576</v>
      </c>
      <c r="L32" s="351"/>
    </row>
    <row r="33" spans="1:14" x14ac:dyDescent="0.25">
      <c r="A33" s="170" t="s">
        <v>362</v>
      </c>
      <c r="B33" s="170" t="s">
        <v>176</v>
      </c>
      <c r="C33" s="171" t="s">
        <v>209</v>
      </c>
      <c r="D33" s="173">
        <v>147</v>
      </c>
      <c r="E33" s="175" t="s">
        <v>224</v>
      </c>
      <c r="F33" s="352">
        <v>0.5</v>
      </c>
      <c r="G33" s="352">
        <v>0</v>
      </c>
      <c r="H33" s="352">
        <v>0</v>
      </c>
      <c r="I33" s="352">
        <v>0.5</v>
      </c>
      <c r="J33" s="353">
        <f>147/0.5</f>
        <v>294</v>
      </c>
      <c r="K33" s="353">
        <f>147/0.5</f>
        <v>294</v>
      </c>
      <c r="L33" s="351"/>
    </row>
    <row r="34" spans="1:14" x14ac:dyDescent="0.25">
      <c r="A34" s="170" t="s">
        <v>363</v>
      </c>
      <c r="B34" s="170" t="s">
        <v>355</v>
      </c>
      <c r="C34" s="171" t="s">
        <v>209</v>
      </c>
      <c r="D34" s="173">
        <v>422</v>
      </c>
      <c r="E34" s="175"/>
      <c r="F34" s="352">
        <v>0</v>
      </c>
      <c r="G34" s="352">
        <v>0</v>
      </c>
      <c r="H34" s="352">
        <v>0</v>
      </c>
      <c r="I34" s="352">
        <v>0</v>
      </c>
      <c r="J34" s="353">
        <v>0</v>
      </c>
      <c r="K34" s="353">
        <v>0</v>
      </c>
      <c r="L34" s="351"/>
    </row>
    <row r="35" spans="1:14" x14ac:dyDescent="0.25">
      <c r="A35" s="170" t="s">
        <v>148</v>
      </c>
      <c r="B35" s="170" t="s">
        <v>152</v>
      </c>
      <c r="C35" s="171" t="s">
        <v>209</v>
      </c>
      <c r="D35" s="173">
        <v>1557</v>
      </c>
      <c r="E35" s="175" t="s">
        <v>224</v>
      </c>
      <c r="F35" s="352">
        <v>2</v>
      </c>
      <c r="G35" s="352">
        <v>0</v>
      </c>
      <c r="H35" s="352">
        <v>0</v>
      </c>
      <c r="I35" s="352">
        <v>2</v>
      </c>
      <c r="J35" s="353">
        <f>1557/2</f>
        <v>778.5</v>
      </c>
      <c r="K35" s="353">
        <f>1557/2</f>
        <v>778.5</v>
      </c>
      <c r="L35" s="351"/>
    </row>
    <row r="36" spans="1:14" x14ac:dyDescent="0.25">
      <c r="A36" s="170" t="s">
        <v>148</v>
      </c>
      <c r="B36" s="170" t="s">
        <v>170</v>
      </c>
      <c r="C36" s="171" t="s">
        <v>209</v>
      </c>
      <c r="D36" s="173">
        <v>1228</v>
      </c>
      <c r="E36" s="175" t="s">
        <v>224</v>
      </c>
      <c r="F36" s="352">
        <v>1</v>
      </c>
      <c r="G36" s="352">
        <v>0</v>
      </c>
      <c r="H36" s="352">
        <v>0</v>
      </c>
      <c r="I36" s="352">
        <v>1</v>
      </c>
      <c r="J36" s="353">
        <f>1228/1</f>
        <v>1228</v>
      </c>
      <c r="K36" s="353">
        <f>1228/1</f>
        <v>1228</v>
      </c>
      <c r="L36" s="351"/>
    </row>
    <row r="37" spans="1:14" x14ac:dyDescent="0.25">
      <c r="A37" s="170" t="s">
        <v>148</v>
      </c>
      <c r="B37" s="170" t="s">
        <v>291</v>
      </c>
      <c r="C37" s="171" t="s">
        <v>209</v>
      </c>
      <c r="D37" s="173">
        <v>175</v>
      </c>
      <c r="E37" s="175" t="s">
        <v>224</v>
      </c>
      <c r="F37" s="352">
        <v>1</v>
      </c>
      <c r="G37" s="352">
        <v>0</v>
      </c>
      <c r="H37" s="352">
        <v>0</v>
      </c>
      <c r="I37" s="352">
        <v>1</v>
      </c>
      <c r="J37" s="353">
        <f>175/1</f>
        <v>175</v>
      </c>
      <c r="K37" s="353">
        <f>175/1</f>
        <v>175</v>
      </c>
      <c r="L37" s="351"/>
    </row>
    <row r="38" spans="1:14" x14ac:dyDescent="0.25">
      <c r="A38" s="170" t="s">
        <v>178</v>
      </c>
      <c r="B38" s="170" t="s">
        <v>206</v>
      </c>
      <c r="C38" s="171" t="s">
        <v>209</v>
      </c>
      <c r="D38" s="173">
        <v>862</v>
      </c>
      <c r="E38" s="175"/>
      <c r="F38" s="352">
        <v>0</v>
      </c>
      <c r="G38" s="352">
        <v>0.96</v>
      </c>
      <c r="H38" s="352">
        <v>0</v>
      </c>
      <c r="I38" s="352">
        <v>0.96</v>
      </c>
      <c r="J38" s="353">
        <v>0</v>
      </c>
      <c r="K38" s="353">
        <f>862/0.96</f>
        <v>897.91666666666674</v>
      </c>
      <c r="L38" s="351"/>
    </row>
    <row r="39" spans="1:14" x14ac:dyDescent="0.25">
      <c r="A39" s="170" t="s">
        <v>364</v>
      </c>
      <c r="B39" s="170" t="s">
        <v>356</v>
      </c>
      <c r="C39" s="171" t="s">
        <v>209</v>
      </c>
      <c r="D39" s="173">
        <v>2017</v>
      </c>
      <c r="E39" s="175" t="s">
        <v>224</v>
      </c>
      <c r="F39" s="352">
        <v>0.99</v>
      </c>
      <c r="G39" s="352">
        <v>0</v>
      </c>
      <c r="H39" s="352">
        <v>0</v>
      </c>
      <c r="I39" s="352">
        <v>0.99</v>
      </c>
      <c r="J39" s="353">
        <f>2017/0.99</f>
        <v>2037.3737373737374</v>
      </c>
      <c r="K39" s="353">
        <f>2017/0.99</f>
        <v>2037.3737373737374</v>
      </c>
      <c r="L39" s="351"/>
    </row>
    <row r="40" spans="1:14" x14ac:dyDescent="0.25">
      <c r="A40" s="170" t="s">
        <v>364</v>
      </c>
      <c r="B40" s="170" t="s">
        <v>237</v>
      </c>
      <c r="C40" s="171" t="s">
        <v>209</v>
      </c>
      <c r="D40" s="173">
        <v>235</v>
      </c>
      <c r="E40" s="175"/>
      <c r="F40" s="352">
        <v>0</v>
      </c>
      <c r="G40" s="352">
        <v>0</v>
      </c>
      <c r="H40" s="352">
        <v>0</v>
      </c>
      <c r="I40" s="352">
        <v>0</v>
      </c>
      <c r="J40" s="353">
        <v>0</v>
      </c>
      <c r="K40" s="353">
        <v>0</v>
      </c>
      <c r="L40" s="351"/>
      <c r="N40" s="4" t="s">
        <v>227</v>
      </c>
    </row>
    <row r="41" spans="1:14" x14ac:dyDescent="0.25">
      <c r="A41" s="170" t="s">
        <v>149</v>
      </c>
      <c r="B41" s="170" t="s">
        <v>238</v>
      </c>
      <c r="C41" s="171" t="s">
        <v>209</v>
      </c>
      <c r="D41" s="173">
        <v>612</v>
      </c>
      <c r="E41" s="175" t="s">
        <v>224</v>
      </c>
      <c r="F41" s="352">
        <v>0.2</v>
      </c>
      <c r="G41" s="352">
        <v>0.94</v>
      </c>
      <c r="H41" s="352">
        <v>0</v>
      </c>
      <c r="I41" s="352">
        <v>1.1399999999999999</v>
      </c>
      <c r="J41" s="353">
        <f>612/0.2</f>
        <v>3060</v>
      </c>
      <c r="K41" s="353">
        <f>612/1.14</f>
        <v>536.84210526315792</v>
      </c>
      <c r="L41" s="351"/>
    </row>
    <row r="42" spans="1:14" x14ac:dyDescent="0.25">
      <c r="A42" s="170" t="s">
        <v>181</v>
      </c>
      <c r="B42" s="170" t="s">
        <v>208</v>
      </c>
      <c r="C42" s="171" t="s">
        <v>209</v>
      </c>
      <c r="D42" s="173">
        <v>274</v>
      </c>
      <c r="E42" s="175"/>
      <c r="F42" s="352">
        <v>0</v>
      </c>
      <c r="G42" s="352">
        <v>0.69</v>
      </c>
      <c r="H42" s="352">
        <v>0</v>
      </c>
      <c r="I42" s="352">
        <v>0.69</v>
      </c>
      <c r="J42" s="353">
        <v>0</v>
      </c>
      <c r="K42" s="353">
        <f>274/0.69</f>
        <v>397.10144927536237</v>
      </c>
      <c r="L42" s="351"/>
    </row>
    <row r="43" spans="1:14" x14ac:dyDescent="0.25">
      <c r="A43" s="170" t="s">
        <v>143</v>
      </c>
      <c r="B43" s="170" t="s">
        <v>142</v>
      </c>
      <c r="C43" s="171" t="s">
        <v>209</v>
      </c>
      <c r="D43" s="173">
        <v>151</v>
      </c>
      <c r="E43" s="175"/>
      <c r="F43" s="352">
        <v>0</v>
      </c>
      <c r="G43" s="352">
        <v>0.72</v>
      </c>
      <c r="H43" s="352">
        <v>0</v>
      </c>
      <c r="I43" s="352">
        <v>0.72</v>
      </c>
      <c r="J43" s="353">
        <v>0</v>
      </c>
      <c r="K43" s="353">
        <f>151/0.72</f>
        <v>209.72222222222223</v>
      </c>
      <c r="L43" s="351"/>
    </row>
    <row r="44" spans="1:14" x14ac:dyDescent="0.25">
      <c r="A44" s="170" t="s">
        <v>365</v>
      </c>
      <c r="B44" s="170" t="s">
        <v>158</v>
      </c>
      <c r="C44" s="171" t="s">
        <v>209</v>
      </c>
      <c r="D44" s="173">
        <v>794</v>
      </c>
      <c r="E44" s="175"/>
      <c r="F44" s="352">
        <v>1</v>
      </c>
      <c r="G44" s="352">
        <v>1</v>
      </c>
      <c r="H44" s="352">
        <v>0</v>
      </c>
      <c r="I44" s="352">
        <v>2</v>
      </c>
      <c r="J44" s="207">
        <f>794/1</f>
        <v>794</v>
      </c>
      <c r="K44" s="207">
        <f>794/2</f>
        <v>397</v>
      </c>
      <c r="L44" s="351"/>
    </row>
    <row r="45" spans="1:14" x14ac:dyDescent="0.25">
      <c r="A45" s="170" t="s">
        <v>365</v>
      </c>
      <c r="B45" s="170" t="s">
        <v>357</v>
      </c>
      <c r="C45" s="171" t="s">
        <v>209</v>
      </c>
      <c r="D45" s="173">
        <v>46</v>
      </c>
      <c r="E45" s="175"/>
      <c r="F45" s="352">
        <v>0</v>
      </c>
      <c r="G45" s="352">
        <v>0</v>
      </c>
      <c r="H45" s="352">
        <v>0</v>
      </c>
      <c r="I45" s="352">
        <v>0</v>
      </c>
      <c r="J45" s="353">
        <v>0</v>
      </c>
      <c r="K45" s="353">
        <v>0</v>
      </c>
      <c r="L45" s="351"/>
    </row>
    <row r="46" spans="1:14" x14ac:dyDescent="0.25">
      <c r="A46" s="170" t="s">
        <v>153</v>
      </c>
      <c r="B46" s="170" t="s">
        <v>235</v>
      </c>
      <c r="C46" s="171" t="s">
        <v>209</v>
      </c>
      <c r="D46" s="173">
        <v>774</v>
      </c>
      <c r="E46" s="175"/>
      <c r="F46" s="352">
        <v>0</v>
      </c>
      <c r="G46" s="352">
        <v>0.88</v>
      </c>
      <c r="H46" s="352">
        <v>0</v>
      </c>
      <c r="I46" s="352">
        <v>0.88</v>
      </c>
      <c r="J46" s="353">
        <v>0</v>
      </c>
      <c r="K46" s="353">
        <f>774/0.88</f>
        <v>879.5454545454545</v>
      </c>
      <c r="L46" s="351"/>
    </row>
    <row r="47" spans="1:14" x14ac:dyDescent="0.25">
      <c r="A47" s="170" t="s">
        <v>198</v>
      </c>
      <c r="B47" s="170" t="s">
        <v>358</v>
      </c>
      <c r="C47" s="171" t="s">
        <v>209</v>
      </c>
      <c r="D47" s="173">
        <v>230</v>
      </c>
      <c r="E47" s="175"/>
      <c r="F47" s="352">
        <v>0</v>
      </c>
      <c r="G47" s="352">
        <v>0</v>
      </c>
      <c r="H47" s="352">
        <v>0</v>
      </c>
      <c r="I47" s="352">
        <v>0</v>
      </c>
      <c r="J47" s="353">
        <v>0</v>
      </c>
      <c r="K47" s="353">
        <v>0</v>
      </c>
      <c r="L47" s="351"/>
    </row>
    <row r="48" spans="1:14" x14ac:dyDescent="0.25">
      <c r="A48" s="170" t="s">
        <v>174</v>
      </c>
      <c r="B48" s="170" t="s">
        <v>359</v>
      </c>
      <c r="C48" s="171" t="s">
        <v>209</v>
      </c>
      <c r="D48" s="173">
        <v>405</v>
      </c>
      <c r="E48" s="175" t="s">
        <v>224</v>
      </c>
      <c r="F48" s="352">
        <v>0.2</v>
      </c>
      <c r="G48" s="352">
        <v>0</v>
      </c>
      <c r="H48" s="352">
        <v>0</v>
      </c>
      <c r="I48" s="352">
        <v>0.2</v>
      </c>
      <c r="J48" s="207">
        <f>405/0.2</f>
        <v>2025</v>
      </c>
      <c r="K48" s="207">
        <f>405/0.2</f>
        <v>2025</v>
      </c>
      <c r="L48" s="351"/>
    </row>
    <row r="49" spans="1:13" x14ac:dyDescent="0.25">
      <c r="A49" s="170" t="s">
        <v>366</v>
      </c>
      <c r="B49" s="170" t="s">
        <v>360</v>
      </c>
      <c r="C49" s="171" t="s">
        <v>209</v>
      </c>
      <c r="D49" s="173">
        <v>237</v>
      </c>
      <c r="E49" s="175" t="s">
        <v>224</v>
      </c>
      <c r="F49" s="352">
        <v>1</v>
      </c>
      <c r="G49" s="350">
        <v>0</v>
      </c>
      <c r="H49" s="350">
        <v>0</v>
      </c>
      <c r="I49" s="350">
        <v>1</v>
      </c>
      <c r="J49" s="353">
        <f>237/1</f>
        <v>237</v>
      </c>
      <c r="K49" s="353">
        <f>237/1</f>
        <v>237</v>
      </c>
      <c r="L49" s="351"/>
    </row>
    <row r="50" spans="1:13" x14ac:dyDescent="0.25">
      <c r="A50" s="355"/>
      <c r="B50" s="356"/>
      <c r="C50" s="155" t="s">
        <v>7</v>
      </c>
      <c r="D50" s="262">
        <f>SUM(D29:D49)</f>
        <v>12783</v>
      </c>
      <c r="E50" s="342">
        <v>12</v>
      </c>
      <c r="F50" s="357">
        <f>SUM(F29:F49)</f>
        <v>10.409999999999998</v>
      </c>
      <c r="G50" s="357">
        <f>SUM(G29:G49)</f>
        <v>7.2099999999999991</v>
      </c>
      <c r="H50" s="357">
        <f>SUM(H29:H49)</f>
        <v>0</v>
      </c>
      <c r="I50" s="357">
        <f>SUM(I29:I49)</f>
        <v>17.62</v>
      </c>
      <c r="J50" s="357"/>
      <c r="K50" s="357"/>
    </row>
    <row r="51" spans="1:13" x14ac:dyDescent="0.25">
      <c r="A51" s="358"/>
      <c r="B51" s="359"/>
      <c r="C51" s="360" t="s">
        <v>8</v>
      </c>
      <c r="D51" s="267">
        <f>AVERAGE(D29:D49)</f>
        <v>608.71428571428567</v>
      </c>
      <c r="E51" s="342"/>
      <c r="F51" s="357">
        <f>AVERAGE(F29:F49)</f>
        <v>0.49571428571428566</v>
      </c>
      <c r="G51" s="357">
        <f>AVERAGE(G29:G49)</f>
        <v>0.34333333333333327</v>
      </c>
      <c r="H51" s="357">
        <f>AVERAGE(H29:H49)</f>
        <v>0</v>
      </c>
      <c r="I51" s="357">
        <f>AVERAGE(I29:I49)</f>
        <v>0.83904761904761904</v>
      </c>
      <c r="J51" s="357">
        <f>12783/10.41</f>
        <v>1227.9538904899134</v>
      </c>
      <c r="K51" s="357">
        <f>12783/17.62</f>
        <v>725.48240635641309</v>
      </c>
    </row>
    <row r="52" spans="1:13" x14ac:dyDescent="0.25">
      <c r="A52" s="358"/>
      <c r="B52" s="359"/>
      <c r="C52" s="360" t="s">
        <v>9</v>
      </c>
      <c r="D52" s="267">
        <f>MEDIAN(D29:D49)</f>
        <v>405</v>
      </c>
      <c r="E52" s="342"/>
      <c r="F52" s="357">
        <f>MEDIAN(F29:F49)</f>
        <v>0.2</v>
      </c>
      <c r="G52" s="357">
        <f>MEDIAN(G29:G49)</f>
        <v>0</v>
      </c>
      <c r="H52" s="357">
        <v>0</v>
      </c>
      <c r="I52" s="357">
        <f>MEDIAN(I29:I49)</f>
        <v>0.91</v>
      </c>
      <c r="J52" s="357"/>
      <c r="K52" s="357"/>
    </row>
    <row r="53" spans="1:13" x14ac:dyDescent="0.25">
      <c r="A53" s="361"/>
      <c r="B53" s="362"/>
      <c r="C53" s="360" t="s">
        <v>30</v>
      </c>
      <c r="D53" s="363"/>
      <c r="E53" s="364">
        <v>0.57099999999999995</v>
      </c>
      <c r="F53" s="357"/>
      <c r="G53" s="357"/>
      <c r="H53" s="357"/>
      <c r="I53" s="365"/>
      <c r="J53" s="357"/>
      <c r="K53" s="357"/>
    </row>
    <row r="54" spans="1:13" x14ac:dyDescent="0.25">
      <c r="B54" s="150"/>
      <c r="C54" s="151"/>
      <c r="D54" s="152"/>
      <c r="F54" s="366"/>
      <c r="G54" s="366"/>
      <c r="H54" s="366"/>
      <c r="I54" s="366"/>
      <c r="M54" s="351"/>
    </row>
    <row r="55" spans="1:13" x14ac:dyDescent="0.25">
      <c r="B55" s="150"/>
      <c r="C55" s="151"/>
      <c r="D55" s="152"/>
      <c r="F55" s="366"/>
      <c r="G55" s="366"/>
      <c r="H55" s="366"/>
      <c r="I55" s="366"/>
      <c r="M55" s="351"/>
    </row>
    <row r="56" spans="1:13" s="161" customFormat="1" ht="13.15" customHeight="1" x14ac:dyDescent="0.2">
      <c r="A56" s="154" t="s">
        <v>668</v>
      </c>
      <c r="B56" s="246"/>
      <c r="C56" s="246"/>
      <c r="D56" s="246"/>
      <c r="E56" s="332"/>
      <c r="F56" s="333"/>
      <c r="G56" s="334"/>
      <c r="H56" s="334"/>
      <c r="I56" s="334"/>
      <c r="J56" s="335"/>
      <c r="K56" s="336"/>
    </row>
    <row r="57" spans="1:13" s="74" customFormat="1" x14ac:dyDescent="0.25">
      <c r="A57" s="337"/>
      <c r="B57" s="338"/>
      <c r="C57" s="338"/>
      <c r="D57" s="338"/>
      <c r="E57" s="339"/>
      <c r="F57" s="250" t="s">
        <v>42</v>
      </c>
      <c r="G57" s="21"/>
      <c r="H57" s="21"/>
      <c r="I57" s="22"/>
      <c r="J57" s="340" t="s">
        <v>32</v>
      </c>
      <c r="K57" s="293"/>
    </row>
    <row r="58" spans="1:13" s="74" customFormat="1" ht="38.25" x14ac:dyDescent="0.2">
      <c r="A58" s="162" t="s">
        <v>11</v>
      </c>
      <c r="B58" s="162" t="s">
        <v>12</v>
      </c>
      <c r="C58" s="162" t="s">
        <v>2</v>
      </c>
      <c r="D58" s="162" t="s">
        <v>5</v>
      </c>
      <c r="E58" s="341" t="s">
        <v>36</v>
      </c>
      <c r="F58" s="342" t="s">
        <v>0</v>
      </c>
      <c r="G58" s="343" t="s">
        <v>38</v>
      </c>
      <c r="H58" s="343" t="s">
        <v>37</v>
      </c>
      <c r="I58" s="343" t="s">
        <v>39</v>
      </c>
      <c r="J58" s="344" t="s">
        <v>40</v>
      </c>
      <c r="K58" s="345" t="s">
        <v>39</v>
      </c>
    </row>
    <row r="59" spans="1:13" s="74" customFormat="1" x14ac:dyDescent="0.25">
      <c r="A59" s="346" t="s">
        <v>41</v>
      </c>
      <c r="B59" s="347"/>
      <c r="C59" s="348"/>
      <c r="D59" s="349">
        <v>6</v>
      </c>
      <c r="E59" s="349">
        <v>6</v>
      </c>
      <c r="F59" s="349">
        <v>6</v>
      </c>
      <c r="G59" s="349">
        <v>6</v>
      </c>
      <c r="H59" s="349">
        <v>6</v>
      </c>
      <c r="I59" s="349">
        <v>6</v>
      </c>
      <c r="J59" s="349">
        <v>6</v>
      </c>
      <c r="K59" s="349">
        <v>6</v>
      </c>
    </row>
    <row r="60" spans="1:13" x14ac:dyDescent="0.25">
      <c r="A60" s="170" t="s">
        <v>362</v>
      </c>
      <c r="B60" s="170" t="s">
        <v>306</v>
      </c>
      <c r="C60" s="171" t="s">
        <v>210</v>
      </c>
      <c r="D60" s="367">
        <v>194</v>
      </c>
      <c r="E60" s="175" t="s">
        <v>224</v>
      </c>
      <c r="F60" s="368">
        <v>0.5</v>
      </c>
      <c r="G60" s="352">
        <v>0.9</v>
      </c>
      <c r="H60" s="369">
        <v>0</v>
      </c>
      <c r="I60" s="352">
        <v>1.4</v>
      </c>
      <c r="J60" s="353">
        <f>194/0.5</f>
        <v>388</v>
      </c>
      <c r="K60" s="353">
        <f>194/1.4</f>
        <v>138.57142857142858</v>
      </c>
      <c r="L60" s="351"/>
    </row>
    <row r="61" spans="1:13" x14ac:dyDescent="0.25">
      <c r="A61" s="170" t="s">
        <v>178</v>
      </c>
      <c r="B61" s="170" t="s">
        <v>413</v>
      </c>
      <c r="C61" s="171" t="s">
        <v>210</v>
      </c>
      <c r="D61" s="367">
        <v>106</v>
      </c>
      <c r="E61" s="175" t="s">
        <v>227</v>
      </c>
      <c r="F61" s="370">
        <v>0</v>
      </c>
      <c r="G61" s="352">
        <v>1.01</v>
      </c>
      <c r="H61" s="369">
        <v>0</v>
      </c>
      <c r="I61" s="352">
        <v>1.01</v>
      </c>
      <c r="J61" s="353">
        <v>0</v>
      </c>
      <c r="K61" s="353">
        <f>106/1.01</f>
        <v>104.95049504950495</v>
      </c>
      <c r="L61" s="351"/>
    </row>
    <row r="62" spans="1:13" x14ac:dyDescent="0.25">
      <c r="A62" s="170" t="s">
        <v>417</v>
      </c>
      <c r="B62" s="170" t="s">
        <v>414</v>
      </c>
      <c r="C62" s="171" t="s">
        <v>210</v>
      </c>
      <c r="D62" s="367">
        <v>182</v>
      </c>
      <c r="E62" s="175" t="s">
        <v>227</v>
      </c>
      <c r="F62" s="370">
        <v>0</v>
      </c>
      <c r="G62" s="352">
        <v>1</v>
      </c>
      <c r="H62" s="369">
        <v>0</v>
      </c>
      <c r="I62" s="352">
        <v>1</v>
      </c>
      <c r="J62" s="353">
        <v>0</v>
      </c>
      <c r="K62" s="353">
        <f>182/1</f>
        <v>182</v>
      </c>
      <c r="L62" s="351"/>
      <c r="M62" s="4" t="s">
        <v>227</v>
      </c>
    </row>
    <row r="63" spans="1:13" x14ac:dyDescent="0.25">
      <c r="A63" s="170" t="s">
        <v>157</v>
      </c>
      <c r="B63" s="170" t="s">
        <v>415</v>
      </c>
      <c r="C63" s="171" t="s">
        <v>210</v>
      </c>
      <c r="D63" s="367">
        <v>83</v>
      </c>
      <c r="E63" s="175" t="s">
        <v>227</v>
      </c>
      <c r="F63" s="370">
        <v>0</v>
      </c>
      <c r="G63" s="352">
        <v>0.88</v>
      </c>
      <c r="H63" s="369">
        <v>0</v>
      </c>
      <c r="I63" s="352">
        <v>0.88</v>
      </c>
      <c r="J63" s="207">
        <v>0</v>
      </c>
      <c r="K63" s="353">
        <f>83/0.88</f>
        <v>94.318181818181813</v>
      </c>
      <c r="L63" s="351"/>
    </row>
    <row r="64" spans="1:13" x14ac:dyDescent="0.25">
      <c r="A64" s="170" t="s">
        <v>418</v>
      </c>
      <c r="B64" s="170" t="s">
        <v>416</v>
      </c>
      <c r="C64" s="171" t="s">
        <v>211</v>
      </c>
      <c r="D64" s="367">
        <v>212</v>
      </c>
      <c r="E64" s="175" t="s">
        <v>227</v>
      </c>
      <c r="F64" s="371">
        <v>0</v>
      </c>
      <c r="G64" s="372">
        <v>0</v>
      </c>
      <c r="H64" s="373">
        <v>1</v>
      </c>
      <c r="I64" s="372">
        <v>1</v>
      </c>
      <c r="J64" s="374">
        <v>0</v>
      </c>
      <c r="K64" s="375">
        <f>212/1</f>
        <v>212</v>
      </c>
      <c r="L64" s="351"/>
    </row>
    <row r="65" spans="1:14" x14ac:dyDescent="0.25">
      <c r="A65" s="170" t="s">
        <v>179</v>
      </c>
      <c r="B65" s="170" t="s">
        <v>412</v>
      </c>
      <c r="C65" s="171" t="s">
        <v>211</v>
      </c>
      <c r="D65" s="367">
        <v>280</v>
      </c>
      <c r="E65" s="175" t="s">
        <v>227</v>
      </c>
      <c r="F65" s="371">
        <v>0</v>
      </c>
      <c r="G65" s="372">
        <v>1</v>
      </c>
      <c r="H65" s="373">
        <v>0</v>
      </c>
      <c r="I65" s="372">
        <v>1</v>
      </c>
      <c r="J65" s="374">
        <v>0</v>
      </c>
      <c r="K65" s="375">
        <f>280/1</f>
        <v>280</v>
      </c>
      <c r="L65" s="351"/>
    </row>
    <row r="66" spans="1:14" x14ac:dyDescent="0.25">
      <c r="A66" s="355"/>
      <c r="B66" s="356"/>
      <c r="C66" s="376" t="s">
        <v>7</v>
      </c>
      <c r="D66" s="262">
        <f>SUM(D60:D65)</f>
        <v>1057</v>
      </c>
      <c r="E66" s="342">
        <v>1</v>
      </c>
      <c r="F66" s="357">
        <f>SUM(F60:F65)</f>
        <v>0.5</v>
      </c>
      <c r="G66" s="357">
        <f>SUM(G60:G65)</f>
        <v>4.79</v>
      </c>
      <c r="H66" s="357">
        <f>SUM(H60:H65)</f>
        <v>1</v>
      </c>
      <c r="I66" s="357">
        <f>SUM(I60:I65)</f>
        <v>6.29</v>
      </c>
      <c r="J66" s="357"/>
      <c r="K66" s="357"/>
    </row>
    <row r="67" spans="1:14" x14ac:dyDescent="0.25">
      <c r="A67" s="358"/>
      <c r="B67" s="359"/>
      <c r="C67" s="360" t="s">
        <v>8</v>
      </c>
      <c r="D67" s="262">
        <f>AVERAGE(D60:D65)</f>
        <v>176.16666666666666</v>
      </c>
      <c r="E67" s="342"/>
      <c r="F67" s="357">
        <f>AVERAGE(F60:F65)</f>
        <v>8.3333333333333329E-2</v>
      </c>
      <c r="G67" s="357">
        <f>AVERAGE(G60:G65)</f>
        <v>0.79833333333333334</v>
      </c>
      <c r="H67" s="357">
        <f>AVERAGE(H60:H65)</f>
        <v>0.16666666666666666</v>
      </c>
      <c r="I67" s="357">
        <f>AVERAGE(I60:I65)</f>
        <v>1.0483333333333333</v>
      </c>
      <c r="J67" s="357">
        <f>1057/0.5</f>
        <v>2114</v>
      </c>
      <c r="K67" s="357">
        <f>1057/6.29</f>
        <v>168.04451510333863</v>
      </c>
    </row>
    <row r="68" spans="1:14" x14ac:dyDescent="0.25">
      <c r="A68" s="358"/>
      <c r="B68" s="359"/>
      <c r="C68" s="360" t="s">
        <v>9</v>
      </c>
      <c r="D68" s="262">
        <f>MEDIAN(D60:D65)</f>
        <v>188</v>
      </c>
      <c r="E68" s="342"/>
      <c r="F68" s="357">
        <f>MEDIAN(F60:F65)</f>
        <v>0</v>
      </c>
      <c r="G68" s="357">
        <f>MEDIAN(G60:G65)</f>
        <v>0.95</v>
      </c>
      <c r="H68" s="357">
        <f>MEDIAN(H60:H65)</f>
        <v>0</v>
      </c>
      <c r="I68" s="357">
        <f>MEDIAN(I60:I65)</f>
        <v>1</v>
      </c>
      <c r="J68" s="357"/>
      <c r="K68" s="357"/>
    </row>
    <row r="69" spans="1:14" x14ac:dyDescent="0.25">
      <c r="A69" s="361"/>
      <c r="B69" s="362"/>
      <c r="C69" s="360" t="s">
        <v>30</v>
      </c>
      <c r="D69" s="363"/>
      <c r="E69" s="364">
        <v>0.16700000000000001</v>
      </c>
      <c r="F69" s="357"/>
      <c r="G69" s="357"/>
      <c r="H69" s="357"/>
      <c r="I69" s="365"/>
      <c r="J69" s="357"/>
      <c r="K69" s="357"/>
    </row>
    <row r="70" spans="1:14" x14ac:dyDescent="0.25">
      <c r="B70" s="150"/>
      <c r="C70" s="151"/>
      <c r="D70" s="152"/>
      <c r="F70" s="366"/>
      <c r="G70" s="366"/>
      <c r="H70" s="366"/>
      <c r="I70" s="366"/>
      <c r="M70" s="351"/>
    </row>
    <row r="71" spans="1:14" x14ac:dyDescent="0.25">
      <c r="B71" s="150"/>
      <c r="C71" s="151"/>
      <c r="D71" s="152"/>
      <c r="F71" s="366"/>
      <c r="G71" s="366"/>
      <c r="H71" s="366"/>
      <c r="I71" s="366"/>
      <c r="M71" s="351"/>
    </row>
    <row r="72" spans="1:14" s="161" customFormat="1" ht="13.15" customHeight="1" x14ac:dyDescent="0.2">
      <c r="A72" s="154" t="s">
        <v>669</v>
      </c>
      <c r="B72" s="246"/>
      <c r="C72" s="246"/>
      <c r="D72" s="246"/>
      <c r="E72" s="332"/>
      <c r="F72" s="333"/>
      <c r="G72" s="334"/>
      <c r="H72" s="334"/>
      <c r="I72" s="334"/>
      <c r="J72" s="335"/>
      <c r="K72" s="336"/>
    </row>
    <row r="73" spans="1:14" s="74" customFormat="1" x14ac:dyDescent="0.25">
      <c r="A73" s="337"/>
      <c r="B73" s="338"/>
      <c r="C73" s="338"/>
      <c r="D73" s="338"/>
      <c r="E73" s="339"/>
      <c r="F73" s="250" t="s">
        <v>42</v>
      </c>
      <c r="G73" s="21"/>
      <c r="H73" s="21"/>
      <c r="I73" s="22"/>
      <c r="J73" s="340" t="s">
        <v>32</v>
      </c>
      <c r="K73" s="293"/>
    </row>
    <row r="74" spans="1:14" s="74" customFormat="1" ht="38.25" x14ac:dyDescent="0.2">
      <c r="A74" s="162" t="s">
        <v>11</v>
      </c>
      <c r="B74" s="162" t="s">
        <v>12</v>
      </c>
      <c r="C74" s="162" t="s">
        <v>2</v>
      </c>
      <c r="D74" s="162" t="s">
        <v>5</v>
      </c>
      <c r="E74" s="341" t="s">
        <v>36</v>
      </c>
      <c r="F74" s="342" t="s">
        <v>0</v>
      </c>
      <c r="G74" s="343" t="s">
        <v>38</v>
      </c>
      <c r="H74" s="343" t="s">
        <v>37</v>
      </c>
      <c r="I74" s="343" t="s">
        <v>39</v>
      </c>
      <c r="J74" s="344" t="s">
        <v>40</v>
      </c>
      <c r="K74" s="345" t="s">
        <v>39</v>
      </c>
    </row>
    <row r="75" spans="1:14" s="74" customFormat="1" x14ac:dyDescent="0.25">
      <c r="A75" s="346" t="s">
        <v>41</v>
      </c>
      <c r="B75" s="347"/>
      <c r="C75" s="348"/>
      <c r="D75" s="349">
        <v>4</v>
      </c>
      <c r="E75" s="349">
        <v>4</v>
      </c>
      <c r="F75" s="349">
        <v>4</v>
      </c>
      <c r="G75" s="349">
        <v>4</v>
      </c>
      <c r="H75" s="349">
        <v>4</v>
      </c>
      <c r="I75" s="349">
        <v>4</v>
      </c>
      <c r="J75" s="349">
        <v>4</v>
      </c>
      <c r="K75" s="349">
        <v>4</v>
      </c>
    </row>
    <row r="76" spans="1:14" x14ac:dyDescent="0.25">
      <c r="A76" s="3" t="s">
        <v>180</v>
      </c>
      <c r="B76" s="3" t="s">
        <v>441</v>
      </c>
      <c r="C76" s="199" t="s">
        <v>212</v>
      </c>
      <c r="D76" s="367">
        <v>236</v>
      </c>
      <c r="E76" s="276" t="s">
        <v>227</v>
      </c>
      <c r="F76" s="377">
        <v>0</v>
      </c>
      <c r="G76" s="377">
        <v>1.71</v>
      </c>
      <c r="H76" s="377">
        <v>0</v>
      </c>
      <c r="I76" s="377">
        <v>1.71</v>
      </c>
      <c r="J76" s="207">
        <v>0</v>
      </c>
      <c r="K76" s="353">
        <f>236/1.71</f>
        <v>138.01169590643275</v>
      </c>
      <c r="L76" s="351"/>
    </row>
    <row r="77" spans="1:14" x14ac:dyDescent="0.25">
      <c r="A77" s="3" t="s">
        <v>417</v>
      </c>
      <c r="B77" s="3" t="s">
        <v>205</v>
      </c>
      <c r="C77" s="199" t="s">
        <v>212</v>
      </c>
      <c r="D77" s="367">
        <v>168</v>
      </c>
      <c r="E77" s="276" t="s">
        <v>227</v>
      </c>
      <c r="F77" s="377">
        <v>0</v>
      </c>
      <c r="G77" s="377">
        <v>1</v>
      </c>
      <c r="H77" s="377">
        <v>0</v>
      </c>
      <c r="I77" s="377">
        <v>1</v>
      </c>
      <c r="J77" s="378">
        <v>0</v>
      </c>
      <c r="K77" s="353">
        <f>168/1</f>
        <v>168</v>
      </c>
      <c r="L77" s="351"/>
    </row>
    <row r="78" spans="1:14" x14ac:dyDescent="0.25">
      <c r="A78" s="3" t="s">
        <v>443</v>
      </c>
      <c r="B78" s="3" t="s">
        <v>442</v>
      </c>
      <c r="C78" s="199" t="s">
        <v>212</v>
      </c>
      <c r="D78" s="367">
        <v>89</v>
      </c>
      <c r="E78" s="276" t="s">
        <v>227</v>
      </c>
      <c r="F78" s="377">
        <v>0</v>
      </c>
      <c r="G78" s="377">
        <v>0</v>
      </c>
      <c r="H78" s="377">
        <v>0</v>
      </c>
      <c r="I78" s="377">
        <v>0</v>
      </c>
      <c r="J78" s="207">
        <v>0</v>
      </c>
      <c r="K78" s="353">
        <v>0</v>
      </c>
      <c r="L78" s="351"/>
      <c r="M78" s="4" t="s">
        <v>227</v>
      </c>
      <c r="N78" s="4" t="s">
        <v>227</v>
      </c>
    </row>
    <row r="79" spans="1:14" x14ac:dyDescent="0.25">
      <c r="A79" s="277" t="s">
        <v>181</v>
      </c>
      <c r="B79" s="277" t="s">
        <v>434</v>
      </c>
      <c r="C79" s="199" t="s">
        <v>212</v>
      </c>
      <c r="D79" s="367">
        <v>36</v>
      </c>
      <c r="E79" s="203"/>
      <c r="F79" s="377">
        <v>0</v>
      </c>
      <c r="G79" s="377">
        <v>0.69</v>
      </c>
      <c r="H79" s="377">
        <v>0</v>
      </c>
      <c r="I79" s="377">
        <v>0.69</v>
      </c>
      <c r="J79" s="353">
        <v>0</v>
      </c>
      <c r="K79" s="353">
        <f>36/0.69</f>
        <v>52.173913043478265</v>
      </c>
      <c r="L79" s="351"/>
    </row>
    <row r="80" spans="1:14" x14ac:dyDescent="0.25">
      <c r="A80" s="355"/>
      <c r="B80" s="356"/>
      <c r="C80" s="155" t="s">
        <v>7</v>
      </c>
      <c r="D80" s="262">
        <f>SUM(D76:D79)</f>
        <v>529</v>
      </c>
      <c r="E80" s="342">
        <v>0</v>
      </c>
      <c r="F80" s="357">
        <f>SUM(F76:F79)</f>
        <v>0</v>
      </c>
      <c r="G80" s="357">
        <f>SUM(G76:G79)</f>
        <v>3.4</v>
      </c>
      <c r="H80" s="357">
        <v>0</v>
      </c>
      <c r="I80" s="357">
        <f>SUM(I76:I79)</f>
        <v>3.4</v>
      </c>
      <c r="J80" s="357" t="s">
        <v>227</v>
      </c>
      <c r="K80" s="357"/>
    </row>
    <row r="81" spans="1:13" x14ac:dyDescent="0.25">
      <c r="A81" s="358"/>
      <c r="B81" s="359"/>
      <c r="C81" s="360" t="s">
        <v>8</v>
      </c>
      <c r="D81" s="262">
        <f>AVERAGE(D76:D79)</f>
        <v>132.25</v>
      </c>
      <c r="E81" s="342"/>
      <c r="F81" s="357">
        <f>AVERAGE(F76:F79)</f>
        <v>0</v>
      </c>
      <c r="G81" s="357">
        <f>AVERAGE(G76:G79)</f>
        <v>0.85</v>
      </c>
      <c r="H81" s="357">
        <v>0</v>
      </c>
      <c r="I81" s="357">
        <f>AVERAGE(I76:I79)</f>
        <v>0.85</v>
      </c>
      <c r="J81" s="357">
        <v>0</v>
      </c>
      <c r="K81" s="357">
        <f>529/3.4</f>
        <v>155.58823529411765</v>
      </c>
    </row>
    <row r="82" spans="1:13" x14ac:dyDescent="0.25">
      <c r="A82" s="358"/>
      <c r="B82" s="359"/>
      <c r="C82" s="360" t="s">
        <v>9</v>
      </c>
      <c r="D82" s="262">
        <f>MEDIAN(D76:D79)</f>
        <v>128.5</v>
      </c>
      <c r="E82" s="342"/>
      <c r="F82" s="357">
        <f>MEDIAN(F76:F79)</f>
        <v>0</v>
      </c>
      <c r="G82" s="357">
        <f>MEDIAN(G76:G79)</f>
        <v>0.84499999999999997</v>
      </c>
      <c r="H82" s="357">
        <v>0</v>
      </c>
      <c r="I82" s="357">
        <f>MEDIAN(I76:I79)</f>
        <v>0.84499999999999997</v>
      </c>
      <c r="J82" s="357"/>
      <c r="K82" s="357"/>
    </row>
    <row r="83" spans="1:13" x14ac:dyDescent="0.25">
      <c r="A83" s="361"/>
      <c r="B83" s="362"/>
      <c r="C83" s="360" t="s">
        <v>30</v>
      </c>
      <c r="D83" s="363"/>
      <c r="E83" s="364">
        <v>0</v>
      </c>
      <c r="F83" s="357"/>
      <c r="G83" s="357"/>
      <c r="H83" s="357"/>
      <c r="I83" s="365"/>
      <c r="J83" s="357"/>
      <c r="K83" s="357"/>
    </row>
    <row r="84" spans="1:13" x14ac:dyDescent="0.25">
      <c r="B84" s="150"/>
      <c r="C84" s="151"/>
      <c r="D84" s="152"/>
      <c r="F84" s="366"/>
      <c r="G84" s="366"/>
      <c r="H84" s="366"/>
      <c r="I84" s="366"/>
      <c r="M84" s="351"/>
    </row>
    <row r="85" spans="1:13" x14ac:dyDescent="0.25">
      <c r="B85" s="150"/>
      <c r="C85" s="151"/>
      <c r="D85" s="152"/>
      <c r="F85" s="366"/>
      <c r="G85" s="366"/>
      <c r="H85" s="366"/>
      <c r="I85" s="366"/>
      <c r="M85" s="351"/>
    </row>
    <row r="86" spans="1:13" s="161" customFormat="1" ht="13.15" customHeight="1" x14ac:dyDescent="0.2">
      <c r="A86" s="154" t="s">
        <v>673</v>
      </c>
      <c r="B86" s="246"/>
      <c r="C86" s="246"/>
      <c r="D86" s="246"/>
      <c r="E86" s="332"/>
      <c r="F86" s="333"/>
      <c r="G86" s="334"/>
      <c r="H86" s="334"/>
      <c r="I86" s="334"/>
      <c r="J86" s="335"/>
      <c r="K86" s="336"/>
    </row>
    <row r="87" spans="1:13" s="74" customFormat="1" x14ac:dyDescent="0.25">
      <c r="A87" s="337"/>
      <c r="B87" s="338"/>
      <c r="C87" s="338"/>
      <c r="D87" s="338"/>
      <c r="E87" s="339"/>
      <c r="F87" s="250" t="s">
        <v>42</v>
      </c>
      <c r="G87" s="21"/>
      <c r="H87" s="21"/>
      <c r="I87" s="22"/>
      <c r="J87" s="340" t="s">
        <v>32</v>
      </c>
      <c r="K87" s="293"/>
    </row>
    <row r="88" spans="1:13" s="74" customFormat="1" ht="38.25" x14ac:dyDescent="0.2">
      <c r="A88" s="162" t="s">
        <v>11</v>
      </c>
      <c r="B88" s="162" t="s">
        <v>12</v>
      </c>
      <c r="C88" s="162" t="s">
        <v>2</v>
      </c>
      <c r="D88" s="162" t="s">
        <v>5</v>
      </c>
      <c r="E88" s="341" t="s">
        <v>36</v>
      </c>
      <c r="F88" s="342" t="s">
        <v>0</v>
      </c>
      <c r="G88" s="343" t="s">
        <v>38</v>
      </c>
      <c r="H88" s="343" t="s">
        <v>37</v>
      </c>
      <c r="I88" s="343" t="s">
        <v>39</v>
      </c>
      <c r="J88" s="344" t="s">
        <v>40</v>
      </c>
      <c r="K88" s="345" t="s">
        <v>39</v>
      </c>
    </row>
    <row r="89" spans="1:13" s="74" customFormat="1" x14ac:dyDescent="0.25">
      <c r="A89" s="346" t="s">
        <v>41</v>
      </c>
      <c r="B89" s="347"/>
      <c r="C89" s="348"/>
      <c r="D89" s="349">
        <v>14</v>
      </c>
      <c r="E89" s="349">
        <v>14</v>
      </c>
      <c r="F89" s="349">
        <v>14</v>
      </c>
      <c r="G89" s="349">
        <v>14</v>
      </c>
      <c r="H89" s="349">
        <v>14</v>
      </c>
      <c r="I89" s="349">
        <v>14</v>
      </c>
      <c r="J89" s="349">
        <v>14</v>
      </c>
      <c r="K89" s="349">
        <v>14</v>
      </c>
    </row>
    <row r="90" spans="1:13" x14ac:dyDescent="0.25">
      <c r="A90" s="199" t="s">
        <v>361</v>
      </c>
      <c r="B90" s="170" t="s">
        <v>503</v>
      </c>
      <c r="C90" s="206" t="s">
        <v>213</v>
      </c>
      <c r="D90" s="367">
        <v>719</v>
      </c>
      <c r="E90" s="175" t="s">
        <v>224</v>
      </c>
      <c r="F90" s="352">
        <v>1</v>
      </c>
      <c r="G90" s="352">
        <v>0.88</v>
      </c>
      <c r="H90" s="352">
        <v>0</v>
      </c>
      <c r="I90" s="352">
        <v>1.88</v>
      </c>
      <c r="J90" s="353">
        <f>719/1</f>
        <v>719</v>
      </c>
      <c r="K90" s="353">
        <f>719/1.88</f>
        <v>382.44680851063833</v>
      </c>
      <c r="L90" s="351"/>
    </row>
    <row r="91" spans="1:13" x14ac:dyDescent="0.25">
      <c r="A91" s="199" t="s">
        <v>163</v>
      </c>
      <c r="B91" s="170" t="s">
        <v>164</v>
      </c>
      <c r="C91" s="206" t="s">
        <v>213</v>
      </c>
      <c r="D91" s="367">
        <v>173</v>
      </c>
      <c r="E91" s="175" t="s">
        <v>227</v>
      </c>
      <c r="F91" s="352">
        <v>0</v>
      </c>
      <c r="G91" s="352">
        <v>0.84</v>
      </c>
      <c r="H91" s="352">
        <v>0</v>
      </c>
      <c r="I91" s="352">
        <v>0.84</v>
      </c>
      <c r="J91" s="207">
        <v>0</v>
      </c>
      <c r="K91" s="207">
        <f>173/0.84</f>
        <v>205.95238095238096</v>
      </c>
      <c r="L91" s="351"/>
    </row>
    <row r="92" spans="1:13" x14ac:dyDescent="0.25">
      <c r="A92" s="199" t="s">
        <v>148</v>
      </c>
      <c r="B92" s="170" t="s">
        <v>504</v>
      </c>
      <c r="C92" s="206" t="s">
        <v>214</v>
      </c>
      <c r="D92" s="367">
        <v>890</v>
      </c>
      <c r="E92" s="175" t="s">
        <v>224</v>
      </c>
      <c r="F92" s="352">
        <v>1</v>
      </c>
      <c r="G92" s="352">
        <v>0</v>
      </c>
      <c r="H92" s="352">
        <v>0</v>
      </c>
      <c r="I92" s="352">
        <v>1</v>
      </c>
      <c r="J92" s="207">
        <f>890/1</f>
        <v>890</v>
      </c>
      <c r="K92" s="353">
        <f>890/1</f>
        <v>890</v>
      </c>
      <c r="L92" s="351"/>
    </row>
    <row r="93" spans="1:13" x14ac:dyDescent="0.25">
      <c r="A93" s="199" t="s">
        <v>148</v>
      </c>
      <c r="B93" s="170" t="s">
        <v>505</v>
      </c>
      <c r="C93" s="206" t="s">
        <v>214</v>
      </c>
      <c r="D93" s="367">
        <v>717</v>
      </c>
      <c r="E93" s="175" t="s">
        <v>224</v>
      </c>
      <c r="F93" s="352">
        <v>1</v>
      </c>
      <c r="G93" s="352">
        <v>0</v>
      </c>
      <c r="H93" s="352">
        <v>0</v>
      </c>
      <c r="I93" s="352">
        <v>1</v>
      </c>
      <c r="J93" s="353">
        <f>717/1</f>
        <v>717</v>
      </c>
      <c r="K93" s="353">
        <f>717/1</f>
        <v>717</v>
      </c>
      <c r="L93" s="351"/>
    </row>
    <row r="94" spans="1:13" x14ac:dyDescent="0.25">
      <c r="A94" s="199" t="s">
        <v>178</v>
      </c>
      <c r="B94" s="170" t="s">
        <v>243</v>
      </c>
      <c r="C94" s="206" t="s">
        <v>214</v>
      </c>
      <c r="D94" s="367">
        <v>470</v>
      </c>
      <c r="E94" s="175" t="s">
        <v>224</v>
      </c>
      <c r="F94" s="352">
        <v>1</v>
      </c>
      <c r="G94" s="352">
        <v>1</v>
      </c>
      <c r="H94" s="352">
        <v>0</v>
      </c>
      <c r="I94" s="352">
        <v>2</v>
      </c>
      <c r="J94" s="353">
        <f>470/1</f>
        <v>470</v>
      </c>
      <c r="K94" s="353">
        <f>470/2</f>
        <v>235</v>
      </c>
      <c r="L94" s="351"/>
    </row>
    <row r="95" spans="1:13" x14ac:dyDescent="0.25">
      <c r="A95" s="199" t="s">
        <v>364</v>
      </c>
      <c r="B95" s="170" t="s">
        <v>450</v>
      </c>
      <c r="C95" s="206" t="s">
        <v>213</v>
      </c>
      <c r="D95" s="367">
        <v>447</v>
      </c>
      <c r="E95" s="175" t="s">
        <v>227</v>
      </c>
      <c r="F95" s="352">
        <v>0.99</v>
      </c>
      <c r="G95" s="352">
        <v>0</v>
      </c>
      <c r="H95" s="352">
        <v>0</v>
      </c>
      <c r="I95" s="352">
        <v>0.99</v>
      </c>
      <c r="J95" s="353">
        <f>447/0.99</f>
        <v>451.5151515151515</v>
      </c>
      <c r="K95" s="353">
        <f>447/0.99</f>
        <v>451.5151515151515</v>
      </c>
      <c r="L95" s="351"/>
    </row>
    <row r="96" spans="1:13" x14ac:dyDescent="0.25">
      <c r="A96" s="199" t="s">
        <v>364</v>
      </c>
      <c r="B96" s="170" t="s">
        <v>506</v>
      </c>
      <c r="C96" s="206" t="s">
        <v>213</v>
      </c>
      <c r="D96" s="367">
        <v>792</v>
      </c>
      <c r="E96" s="175" t="s">
        <v>224</v>
      </c>
      <c r="F96" s="352">
        <v>0.99</v>
      </c>
      <c r="G96" s="352">
        <v>0</v>
      </c>
      <c r="H96" s="352">
        <v>0</v>
      </c>
      <c r="I96" s="352">
        <v>0.99</v>
      </c>
      <c r="J96" s="353">
        <f>792/0.99</f>
        <v>800</v>
      </c>
      <c r="K96" s="353">
        <f>792/0.99</f>
        <v>800</v>
      </c>
      <c r="L96" s="351"/>
    </row>
    <row r="97" spans="1:13" x14ac:dyDescent="0.25">
      <c r="A97" s="199" t="s">
        <v>364</v>
      </c>
      <c r="B97" s="170" t="s">
        <v>507</v>
      </c>
      <c r="C97" s="206" t="s">
        <v>213</v>
      </c>
      <c r="D97" s="367">
        <v>767</v>
      </c>
      <c r="E97" s="175" t="s">
        <v>224</v>
      </c>
      <c r="F97" s="352">
        <v>0.99</v>
      </c>
      <c r="G97" s="352">
        <v>0</v>
      </c>
      <c r="H97" s="352">
        <v>0</v>
      </c>
      <c r="I97" s="352">
        <v>0.99</v>
      </c>
      <c r="J97" s="353">
        <f>767/0.99</f>
        <v>774.74747474747471</v>
      </c>
      <c r="K97" s="353">
        <f>767/0.99</f>
        <v>774.74747474747471</v>
      </c>
      <c r="L97" s="351"/>
    </row>
    <row r="98" spans="1:13" x14ac:dyDescent="0.25">
      <c r="A98" s="199" t="s">
        <v>149</v>
      </c>
      <c r="B98" s="170" t="s">
        <v>312</v>
      </c>
      <c r="C98" s="206" t="s">
        <v>213</v>
      </c>
      <c r="D98" s="367">
        <v>466</v>
      </c>
      <c r="E98" s="175" t="s">
        <v>224</v>
      </c>
      <c r="F98" s="352">
        <v>0.2</v>
      </c>
      <c r="G98" s="352">
        <v>0.94</v>
      </c>
      <c r="H98" s="352">
        <v>0</v>
      </c>
      <c r="I98" s="352">
        <v>1.1399999999999999</v>
      </c>
      <c r="J98" s="207">
        <f>466/0.2</f>
        <v>2330</v>
      </c>
      <c r="K98" s="353">
        <f>466/1.14</f>
        <v>408.77192982456143</v>
      </c>
      <c r="L98" s="351"/>
      <c r="M98" s="4" t="s">
        <v>227</v>
      </c>
    </row>
    <row r="99" spans="1:13" x14ac:dyDescent="0.25">
      <c r="A99" s="199" t="s">
        <v>183</v>
      </c>
      <c r="B99" s="170" t="s">
        <v>244</v>
      </c>
      <c r="C99" s="206" t="s">
        <v>213</v>
      </c>
      <c r="D99" s="367">
        <v>869</v>
      </c>
      <c r="E99" s="175" t="s">
        <v>224</v>
      </c>
      <c r="F99" s="352">
        <v>1</v>
      </c>
      <c r="G99" s="352">
        <v>2</v>
      </c>
      <c r="H99" s="352">
        <v>0</v>
      </c>
      <c r="I99" s="352">
        <v>3</v>
      </c>
      <c r="J99" s="353">
        <f>869/1</f>
        <v>869</v>
      </c>
      <c r="K99" s="353">
        <f>869/3</f>
        <v>289.66666666666669</v>
      </c>
      <c r="L99" s="351"/>
    </row>
    <row r="100" spans="1:13" x14ac:dyDescent="0.25">
      <c r="A100" s="199" t="s">
        <v>143</v>
      </c>
      <c r="B100" s="170" t="s">
        <v>508</v>
      </c>
      <c r="C100" s="206" t="s">
        <v>213</v>
      </c>
      <c r="D100" s="367">
        <v>105</v>
      </c>
      <c r="E100" s="175" t="s">
        <v>227</v>
      </c>
      <c r="F100" s="352">
        <v>0</v>
      </c>
      <c r="G100" s="352">
        <v>0.34</v>
      </c>
      <c r="H100" s="352">
        <v>0</v>
      </c>
      <c r="I100" s="352">
        <v>0.34</v>
      </c>
      <c r="J100" s="353">
        <v>0</v>
      </c>
      <c r="K100" s="353">
        <f>105/0.34</f>
        <v>308.8235294117647</v>
      </c>
      <c r="L100" s="351"/>
    </row>
    <row r="101" spans="1:13" x14ac:dyDescent="0.25">
      <c r="A101" s="199" t="s">
        <v>257</v>
      </c>
      <c r="B101" s="170" t="s">
        <v>509</v>
      </c>
      <c r="C101" s="206" t="s">
        <v>214</v>
      </c>
      <c r="D101" s="367">
        <v>799</v>
      </c>
      <c r="E101" s="175" t="s">
        <v>224</v>
      </c>
      <c r="F101" s="352">
        <v>0</v>
      </c>
      <c r="G101" s="352">
        <v>1</v>
      </c>
      <c r="H101" s="352">
        <v>0</v>
      </c>
      <c r="I101" s="352">
        <v>1</v>
      </c>
      <c r="J101" s="353">
        <v>0</v>
      </c>
      <c r="K101" s="353">
        <f>799/1</f>
        <v>799</v>
      </c>
      <c r="L101" s="351"/>
    </row>
    <row r="102" spans="1:13" x14ac:dyDescent="0.25">
      <c r="A102" s="199" t="s">
        <v>365</v>
      </c>
      <c r="B102" s="170" t="s">
        <v>313</v>
      </c>
      <c r="C102" s="206" t="s">
        <v>213</v>
      </c>
      <c r="D102" s="367">
        <v>698</v>
      </c>
      <c r="E102" s="175" t="s">
        <v>224</v>
      </c>
      <c r="F102" s="352">
        <v>1</v>
      </c>
      <c r="G102" s="352">
        <v>1</v>
      </c>
      <c r="H102" s="352">
        <v>0</v>
      </c>
      <c r="I102" s="352">
        <v>2</v>
      </c>
      <c r="J102" s="353">
        <f>698/1</f>
        <v>698</v>
      </c>
      <c r="K102" s="353">
        <f>698/2</f>
        <v>349</v>
      </c>
      <c r="L102" s="351"/>
    </row>
    <row r="103" spans="1:13" x14ac:dyDescent="0.25">
      <c r="A103" s="199" t="s">
        <v>174</v>
      </c>
      <c r="B103" s="170" t="s">
        <v>177</v>
      </c>
      <c r="C103" s="206" t="s">
        <v>213</v>
      </c>
      <c r="D103" s="367">
        <v>245</v>
      </c>
      <c r="E103" s="175" t="s">
        <v>224</v>
      </c>
      <c r="F103" s="352">
        <v>0.2</v>
      </c>
      <c r="G103" s="352">
        <v>0.44</v>
      </c>
      <c r="H103" s="352">
        <v>0</v>
      </c>
      <c r="I103" s="352">
        <v>0.64</v>
      </c>
      <c r="J103" s="353">
        <f>245/0.2</f>
        <v>1225</v>
      </c>
      <c r="K103" s="353">
        <f>245/0.64</f>
        <v>382.8125</v>
      </c>
      <c r="L103" s="351"/>
    </row>
    <row r="104" spans="1:13" x14ac:dyDescent="0.25">
      <c r="A104" s="355"/>
      <c r="B104" s="356"/>
      <c r="C104" s="379" t="s">
        <v>7</v>
      </c>
      <c r="D104" s="262">
        <f>SUM(D90:D103)</f>
        <v>8157</v>
      </c>
      <c r="E104" s="342">
        <v>11</v>
      </c>
      <c r="F104" s="357">
        <f>SUM(F90:F103)</f>
        <v>9.370000000000001</v>
      </c>
      <c r="G104" s="357">
        <f>SUM(G90:G103)</f>
        <v>8.44</v>
      </c>
      <c r="H104" s="357">
        <v>0</v>
      </c>
      <c r="I104" s="357">
        <f>SUM(I90:I103)</f>
        <v>17.810000000000002</v>
      </c>
      <c r="J104" s="357"/>
      <c r="K104" s="357"/>
    </row>
    <row r="105" spans="1:13" x14ac:dyDescent="0.25">
      <c r="A105" s="358"/>
      <c r="B105" s="359"/>
      <c r="C105" s="360" t="s">
        <v>8</v>
      </c>
      <c r="D105" s="262">
        <f>AVERAGE(D90:D103)</f>
        <v>582.64285714285711</v>
      </c>
      <c r="E105" s="342" t="s">
        <v>227</v>
      </c>
      <c r="F105" s="357">
        <f>AVERAGE(F90:F103)</f>
        <v>0.66928571428571437</v>
      </c>
      <c r="G105" s="357">
        <f>AVERAGE(G90:G103)</f>
        <v>0.60285714285714287</v>
      </c>
      <c r="H105" s="357">
        <v>0</v>
      </c>
      <c r="I105" s="357">
        <f>AVERAGE(I90:I103)</f>
        <v>1.2721428571428572</v>
      </c>
      <c r="J105" s="357">
        <f>8157/9.37</f>
        <v>870.54429028815377</v>
      </c>
      <c r="K105" s="357">
        <f>8157/17.81</f>
        <v>458.00112296462663</v>
      </c>
    </row>
    <row r="106" spans="1:13" x14ac:dyDescent="0.25">
      <c r="A106" s="358"/>
      <c r="B106" s="359"/>
      <c r="C106" s="360" t="s">
        <v>9</v>
      </c>
      <c r="D106" s="262">
        <f>MEDIAN(D90:D103)</f>
        <v>707.5</v>
      </c>
      <c r="E106" s="342"/>
      <c r="F106" s="357">
        <f>MEDIAN(F90:F103)</f>
        <v>0.99</v>
      </c>
      <c r="G106" s="357">
        <f>MEDIAN(G90:G103)</f>
        <v>0.64</v>
      </c>
      <c r="H106" s="357">
        <v>0</v>
      </c>
      <c r="I106" s="357">
        <f>MEDIAN(I90:I103)</f>
        <v>1</v>
      </c>
      <c r="J106" s="357"/>
      <c r="K106" s="357"/>
    </row>
    <row r="107" spans="1:13" x14ac:dyDescent="0.25">
      <c r="A107" s="361"/>
      <c r="B107" s="362"/>
      <c r="C107" s="360" t="s">
        <v>30</v>
      </c>
      <c r="D107" s="363"/>
      <c r="E107" s="364">
        <v>0.78569999999999995</v>
      </c>
      <c r="F107" s="357"/>
      <c r="G107" s="357"/>
      <c r="H107" s="357"/>
      <c r="I107" s="365"/>
      <c r="J107" s="357"/>
      <c r="K107" s="357"/>
    </row>
    <row r="108" spans="1:13" x14ac:dyDescent="0.25">
      <c r="B108" s="150"/>
      <c r="C108" s="151"/>
      <c r="D108" s="152"/>
      <c r="F108" s="366"/>
      <c r="G108" s="366"/>
      <c r="H108" s="366"/>
      <c r="I108" s="366"/>
      <c r="M108" s="351"/>
    </row>
    <row r="109" spans="1:13" x14ac:dyDescent="0.25">
      <c r="B109" s="150"/>
      <c r="C109" s="151"/>
      <c r="D109" s="152"/>
      <c r="F109" s="366"/>
      <c r="G109" s="366"/>
      <c r="H109" s="366"/>
      <c r="I109" s="366"/>
      <c r="M109" s="351"/>
    </row>
    <row r="110" spans="1:13" s="161" customFormat="1" ht="13.15" customHeight="1" x14ac:dyDescent="0.2">
      <c r="A110" s="154" t="s">
        <v>671</v>
      </c>
      <c r="B110" s="246"/>
      <c r="C110" s="246"/>
      <c r="D110" s="246"/>
      <c r="E110" s="332"/>
      <c r="F110" s="333"/>
      <c r="G110" s="334"/>
      <c r="H110" s="334"/>
      <c r="I110" s="334"/>
      <c r="J110" s="335"/>
      <c r="K110" s="336"/>
    </row>
    <row r="111" spans="1:13" s="74" customFormat="1" ht="12.75" x14ac:dyDescent="0.2">
      <c r="A111" s="337"/>
      <c r="B111" s="338"/>
      <c r="C111" s="338"/>
      <c r="D111" s="338"/>
      <c r="E111" s="339"/>
      <c r="F111" s="250" t="s">
        <v>42</v>
      </c>
      <c r="G111" s="380"/>
      <c r="H111" s="380"/>
      <c r="I111" s="381"/>
      <c r="J111" s="340" t="s">
        <v>32</v>
      </c>
      <c r="K111" s="382"/>
    </row>
    <row r="112" spans="1:13" s="74" customFormat="1" ht="38.25" x14ac:dyDescent="0.2">
      <c r="A112" s="162" t="s">
        <v>11</v>
      </c>
      <c r="B112" s="162" t="s">
        <v>12</v>
      </c>
      <c r="C112" s="162" t="s">
        <v>2</v>
      </c>
      <c r="D112" s="162" t="s">
        <v>5</v>
      </c>
      <c r="E112" s="341" t="s">
        <v>36</v>
      </c>
      <c r="F112" s="342" t="s">
        <v>0</v>
      </c>
      <c r="G112" s="343" t="s">
        <v>38</v>
      </c>
      <c r="H112" s="343" t="s">
        <v>37</v>
      </c>
      <c r="I112" s="343" t="s">
        <v>39</v>
      </c>
      <c r="J112" s="344" t="s">
        <v>40</v>
      </c>
      <c r="K112" s="345" t="s">
        <v>39</v>
      </c>
    </row>
    <row r="113" spans="1:13" s="74" customFormat="1" x14ac:dyDescent="0.25">
      <c r="A113" s="346" t="s">
        <v>41</v>
      </c>
      <c r="B113" s="347"/>
      <c r="C113" s="348"/>
      <c r="D113" s="349">
        <v>7</v>
      </c>
      <c r="E113" s="349">
        <v>7</v>
      </c>
      <c r="F113" s="349">
        <v>7</v>
      </c>
      <c r="G113" s="349">
        <v>7</v>
      </c>
      <c r="H113" s="349">
        <v>7</v>
      </c>
      <c r="I113" s="349">
        <v>7</v>
      </c>
      <c r="J113" s="349">
        <v>7</v>
      </c>
      <c r="K113" s="349">
        <v>7</v>
      </c>
    </row>
    <row r="114" spans="1:13" x14ac:dyDescent="0.25">
      <c r="A114" s="170" t="s">
        <v>361</v>
      </c>
      <c r="B114" s="170" t="s">
        <v>510</v>
      </c>
      <c r="C114" s="199" t="s">
        <v>215</v>
      </c>
      <c r="D114" s="383">
        <v>239</v>
      </c>
      <c r="E114" s="175" t="s">
        <v>224</v>
      </c>
      <c r="F114" s="352">
        <v>1.1499999999999999</v>
      </c>
      <c r="G114" s="352">
        <v>0</v>
      </c>
      <c r="H114" s="352">
        <v>0</v>
      </c>
      <c r="I114" s="352">
        <v>1.1499999999999999</v>
      </c>
      <c r="J114" s="353">
        <f>239/1.15</f>
        <v>207.82608695652175</v>
      </c>
      <c r="K114" s="353">
        <f>239/1.15</f>
        <v>207.82608695652175</v>
      </c>
      <c r="L114" s="384"/>
    </row>
    <row r="115" spans="1:13" x14ac:dyDescent="0.25">
      <c r="A115" s="170" t="s">
        <v>417</v>
      </c>
      <c r="B115" s="170" t="s">
        <v>245</v>
      </c>
      <c r="C115" s="199" t="s">
        <v>215</v>
      </c>
      <c r="D115" s="383">
        <v>469</v>
      </c>
      <c r="E115" s="175" t="s">
        <v>224</v>
      </c>
      <c r="F115" s="372">
        <v>1</v>
      </c>
      <c r="G115" s="372">
        <v>1</v>
      </c>
      <c r="H115" s="372">
        <v>0</v>
      </c>
      <c r="I115" s="372">
        <v>2</v>
      </c>
      <c r="J115" s="375">
        <f>469/1</f>
        <v>469</v>
      </c>
      <c r="K115" s="375">
        <f>469/2</f>
        <v>234.5</v>
      </c>
      <c r="L115" s="384"/>
    </row>
    <row r="116" spans="1:13" x14ac:dyDescent="0.25">
      <c r="A116" s="3" t="s">
        <v>364</v>
      </c>
      <c r="B116" s="3" t="s">
        <v>529</v>
      </c>
      <c r="C116" s="171" t="s">
        <v>215</v>
      </c>
      <c r="D116" s="385">
        <v>178</v>
      </c>
      <c r="E116" s="175" t="s">
        <v>227</v>
      </c>
      <c r="F116" s="372">
        <v>0</v>
      </c>
      <c r="G116" s="372">
        <v>0.88</v>
      </c>
      <c r="H116" s="372">
        <v>0</v>
      </c>
      <c r="I116" s="372">
        <v>0.88</v>
      </c>
      <c r="J116" s="375">
        <v>0</v>
      </c>
      <c r="K116" s="375">
        <f>178/0.88</f>
        <v>202.27272727272728</v>
      </c>
      <c r="L116" s="384"/>
      <c r="M116" s="4" t="s">
        <v>227</v>
      </c>
    </row>
    <row r="117" spans="1:13" x14ac:dyDescent="0.25">
      <c r="A117" s="170" t="s">
        <v>364</v>
      </c>
      <c r="B117" s="170" t="s">
        <v>511</v>
      </c>
      <c r="C117" s="199" t="s">
        <v>215</v>
      </c>
      <c r="D117" s="383">
        <v>176</v>
      </c>
      <c r="E117" s="175" t="s">
        <v>227</v>
      </c>
      <c r="F117" s="372">
        <v>0</v>
      </c>
      <c r="G117" s="372">
        <v>0.88</v>
      </c>
      <c r="H117" s="372">
        <v>0</v>
      </c>
      <c r="I117" s="372">
        <v>0.88</v>
      </c>
      <c r="J117" s="375">
        <v>0</v>
      </c>
      <c r="K117" s="375">
        <f>176/0.88</f>
        <v>200</v>
      </c>
      <c r="L117" s="384"/>
    </row>
    <row r="118" spans="1:13" x14ac:dyDescent="0.25">
      <c r="A118" s="170" t="s">
        <v>485</v>
      </c>
      <c r="B118" s="170" t="s">
        <v>481</v>
      </c>
      <c r="C118" s="199" t="s">
        <v>215</v>
      </c>
      <c r="D118" s="383">
        <v>619</v>
      </c>
      <c r="E118" s="175" t="s">
        <v>227</v>
      </c>
      <c r="F118" s="372">
        <v>0</v>
      </c>
      <c r="G118" s="372">
        <v>0.98</v>
      </c>
      <c r="H118" s="372">
        <v>0</v>
      </c>
      <c r="I118" s="372">
        <v>0.98</v>
      </c>
      <c r="J118" s="375">
        <v>0</v>
      </c>
      <c r="K118" s="375">
        <f>619/0.98</f>
        <v>631.63265306122446</v>
      </c>
      <c r="L118" s="384"/>
    </row>
    <row r="119" spans="1:13" x14ac:dyDescent="0.25">
      <c r="A119" s="170" t="s">
        <v>257</v>
      </c>
      <c r="B119" s="170" t="s">
        <v>482</v>
      </c>
      <c r="C119" s="199" t="s">
        <v>215</v>
      </c>
      <c r="D119" s="383">
        <v>26</v>
      </c>
      <c r="E119" s="175" t="s">
        <v>224</v>
      </c>
      <c r="F119" s="372">
        <v>0.25</v>
      </c>
      <c r="G119" s="372">
        <v>0</v>
      </c>
      <c r="H119" s="372">
        <v>0</v>
      </c>
      <c r="I119" s="372">
        <v>0.25</v>
      </c>
      <c r="J119" s="375">
        <f>26/0.25</f>
        <v>104</v>
      </c>
      <c r="K119" s="375">
        <f>26/0.25</f>
        <v>104</v>
      </c>
      <c r="L119" s="384"/>
    </row>
    <row r="120" spans="1:13" x14ac:dyDescent="0.25">
      <c r="A120" s="170" t="s">
        <v>166</v>
      </c>
      <c r="B120" s="170" t="s">
        <v>246</v>
      </c>
      <c r="C120" s="199" t="s">
        <v>215</v>
      </c>
      <c r="D120" s="383">
        <v>519</v>
      </c>
      <c r="E120" s="175" t="s">
        <v>287</v>
      </c>
      <c r="F120" s="372">
        <v>0</v>
      </c>
      <c r="G120" s="372">
        <v>1.88</v>
      </c>
      <c r="H120" s="372">
        <v>0</v>
      </c>
      <c r="I120" s="372">
        <v>1.88</v>
      </c>
      <c r="J120" s="375">
        <v>0</v>
      </c>
      <c r="K120" s="375">
        <f>519/1.88</f>
        <v>276.06382978723406</v>
      </c>
      <c r="L120" s="384"/>
    </row>
    <row r="121" spans="1:13" x14ac:dyDescent="0.25">
      <c r="A121" s="355"/>
      <c r="B121" s="356"/>
      <c r="C121" s="155" t="s">
        <v>7</v>
      </c>
      <c r="D121" s="262">
        <f>SUM(D114:D120)</f>
        <v>2226</v>
      </c>
      <c r="E121" s="342">
        <v>3</v>
      </c>
      <c r="F121" s="357">
        <f>SUM(F114:F120)</f>
        <v>2.4</v>
      </c>
      <c r="G121" s="357">
        <f>SUM(G114:G120)</f>
        <v>5.6199999999999992</v>
      </c>
      <c r="H121" s="357">
        <v>0</v>
      </c>
      <c r="I121" s="357">
        <f>SUM(I114:I120)</f>
        <v>8.02</v>
      </c>
      <c r="J121" s="357" t="s">
        <v>227</v>
      </c>
      <c r="K121" s="357"/>
    </row>
    <row r="122" spans="1:13" x14ac:dyDescent="0.25">
      <c r="A122" s="358"/>
      <c r="B122" s="359"/>
      <c r="C122" s="360" t="s">
        <v>8</v>
      </c>
      <c r="D122" s="262">
        <f>AVERAGE(D114:D120)</f>
        <v>318</v>
      </c>
      <c r="E122" s="342" t="s">
        <v>227</v>
      </c>
      <c r="F122" s="357">
        <f>AVERAGE(F114:F120)</f>
        <v>0.34285714285714286</v>
      </c>
      <c r="G122" s="357">
        <f>AVERAGE(G114:G120)</f>
        <v>0.80285714285714271</v>
      </c>
      <c r="H122" s="357">
        <v>0</v>
      </c>
      <c r="I122" s="357">
        <f>AVERAGE(I114:I120)</f>
        <v>1.1457142857142857</v>
      </c>
      <c r="J122" s="386">
        <f>2226/2.4</f>
        <v>927.5</v>
      </c>
      <c r="K122" s="357">
        <f>2226/8.02</f>
        <v>277.55610972568581</v>
      </c>
    </row>
    <row r="123" spans="1:13" x14ac:dyDescent="0.25">
      <c r="A123" s="358"/>
      <c r="B123" s="359"/>
      <c r="C123" s="360" t="s">
        <v>9</v>
      </c>
      <c r="D123" s="262">
        <f>MEDIAN(D114:D120)</f>
        <v>239</v>
      </c>
      <c r="E123" s="342"/>
      <c r="F123" s="357">
        <f>MEDIAN(F114:F120)</f>
        <v>0</v>
      </c>
      <c r="G123" s="357">
        <f>MEDIAN(G114:G120)</f>
        <v>0.88</v>
      </c>
      <c r="H123" s="357">
        <v>0</v>
      </c>
      <c r="I123" s="357">
        <f>MEDIAN(I114:I120)</f>
        <v>0.98</v>
      </c>
      <c r="J123" s="357" t="s">
        <v>227</v>
      </c>
      <c r="K123" s="357"/>
    </row>
    <row r="124" spans="1:13" x14ac:dyDescent="0.25">
      <c r="A124" s="361"/>
      <c r="B124" s="362"/>
      <c r="C124" s="360" t="s">
        <v>30</v>
      </c>
      <c r="D124" s="363"/>
      <c r="E124" s="364">
        <v>0.42859999999999998</v>
      </c>
      <c r="F124" s="357"/>
      <c r="G124" s="357"/>
      <c r="H124" s="357"/>
      <c r="I124" s="365"/>
      <c r="J124" s="357"/>
      <c r="K124" s="357"/>
    </row>
    <row r="125" spans="1:13" x14ac:dyDescent="0.25">
      <c r="B125" s="150"/>
      <c r="C125" s="151"/>
      <c r="D125" s="152"/>
      <c r="F125" s="366"/>
      <c r="G125" s="366"/>
      <c r="H125" s="366"/>
      <c r="I125" s="366"/>
      <c r="M125" s="351"/>
    </row>
    <row r="126" spans="1:13" x14ac:dyDescent="0.25">
      <c r="B126" s="150"/>
      <c r="C126" s="151"/>
      <c r="D126" s="152"/>
      <c r="F126" s="366"/>
      <c r="G126" s="366"/>
      <c r="H126" s="366"/>
      <c r="I126" s="366"/>
      <c r="M126" s="351"/>
    </row>
    <row r="127" spans="1:13" s="161" customFormat="1" ht="13.15" customHeight="1" x14ac:dyDescent="0.2">
      <c r="A127" s="154" t="s">
        <v>672</v>
      </c>
      <c r="B127" s="246"/>
      <c r="C127" s="246"/>
      <c r="D127" s="246"/>
      <c r="E127" s="332"/>
      <c r="F127" s="333"/>
      <c r="G127" s="334"/>
      <c r="H127" s="334"/>
      <c r="I127" s="334"/>
      <c r="J127" s="335"/>
      <c r="K127" s="336"/>
    </row>
    <row r="128" spans="1:13" s="74" customFormat="1" ht="12.75" x14ac:dyDescent="0.2">
      <c r="A128" s="337"/>
      <c r="B128" s="338"/>
      <c r="C128" s="338"/>
      <c r="D128" s="338"/>
      <c r="E128" s="339"/>
      <c r="F128" s="250" t="s">
        <v>42</v>
      </c>
      <c r="G128" s="380"/>
      <c r="H128" s="380"/>
      <c r="I128" s="381"/>
      <c r="J128" s="340" t="s">
        <v>32</v>
      </c>
      <c r="K128" s="382"/>
    </row>
    <row r="129" spans="1:15" s="74" customFormat="1" ht="38.25" x14ac:dyDescent="0.2">
      <c r="A129" s="162" t="s">
        <v>11</v>
      </c>
      <c r="B129" s="162" t="s">
        <v>12</v>
      </c>
      <c r="C129" s="162" t="s">
        <v>2</v>
      </c>
      <c r="D129" s="162" t="s">
        <v>5</v>
      </c>
      <c r="E129" s="341" t="s">
        <v>36</v>
      </c>
      <c r="F129" s="342" t="s">
        <v>0</v>
      </c>
      <c r="G129" s="343" t="s">
        <v>38</v>
      </c>
      <c r="H129" s="343" t="s">
        <v>37</v>
      </c>
      <c r="I129" s="343" t="s">
        <v>39</v>
      </c>
      <c r="J129" s="344" t="s">
        <v>40</v>
      </c>
      <c r="K129" s="345" t="s">
        <v>39</v>
      </c>
    </row>
    <row r="130" spans="1:15" s="74" customFormat="1" x14ac:dyDescent="0.25">
      <c r="A130" s="346" t="s">
        <v>41</v>
      </c>
      <c r="B130" s="347"/>
      <c r="C130" s="348"/>
      <c r="D130" s="349">
        <v>62</v>
      </c>
      <c r="E130" s="349">
        <v>61</v>
      </c>
      <c r="F130" s="349">
        <v>62</v>
      </c>
      <c r="G130" s="349">
        <v>62</v>
      </c>
      <c r="H130" s="349">
        <v>62</v>
      </c>
      <c r="I130" s="349">
        <v>62</v>
      </c>
      <c r="J130" s="349">
        <v>62</v>
      </c>
      <c r="K130" s="349">
        <v>62</v>
      </c>
    </row>
    <row r="131" spans="1:15" x14ac:dyDescent="0.25">
      <c r="A131" s="170" t="s">
        <v>361</v>
      </c>
      <c r="B131" s="170" t="s">
        <v>321</v>
      </c>
      <c r="C131" s="199" t="s">
        <v>216</v>
      </c>
      <c r="D131" s="200">
        <v>14</v>
      </c>
      <c r="E131" s="175" t="s">
        <v>224</v>
      </c>
      <c r="F131" s="352">
        <v>0.1</v>
      </c>
      <c r="G131" s="352">
        <v>0</v>
      </c>
      <c r="H131" s="352">
        <v>0</v>
      </c>
      <c r="I131" s="352">
        <v>0.1</v>
      </c>
      <c r="J131" s="207">
        <f>14/0.1</f>
        <v>140</v>
      </c>
      <c r="K131" s="207">
        <f>14/0.1</f>
        <v>140</v>
      </c>
      <c r="L131" s="384"/>
    </row>
    <row r="132" spans="1:15" x14ac:dyDescent="0.25">
      <c r="A132" s="170" t="s">
        <v>361</v>
      </c>
      <c r="B132" s="170" t="s">
        <v>512</v>
      </c>
      <c r="C132" s="199" t="s">
        <v>216</v>
      </c>
      <c r="D132" s="200">
        <v>257</v>
      </c>
      <c r="E132" s="175" t="s">
        <v>227</v>
      </c>
      <c r="F132" s="352">
        <v>1</v>
      </c>
      <c r="G132" s="352">
        <v>0</v>
      </c>
      <c r="H132" s="352">
        <v>0</v>
      </c>
      <c r="I132" s="352">
        <v>1</v>
      </c>
      <c r="J132" s="207">
        <f>257/1</f>
        <v>257</v>
      </c>
      <c r="K132" s="207">
        <f>257/1</f>
        <v>257</v>
      </c>
      <c r="L132" s="351"/>
    </row>
    <row r="133" spans="1:15" x14ac:dyDescent="0.25">
      <c r="A133" s="170" t="s">
        <v>361</v>
      </c>
      <c r="B133" s="170" t="s">
        <v>262</v>
      </c>
      <c r="C133" s="199" t="s">
        <v>216</v>
      </c>
      <c r="D133" s="200">
        <v>249</v>
      </c>
      <c r="E133" s="175" t="s">
        <v>224</v>
      </c>
      <c r="F133" s="352">
        <v>0.9</v>
      </c>
      <c r="G133" s="352">
        <v>0</v>
      </c>
      <c r="H133" s="352">
        <v>0</v>
      </c>
      <c r="I133" s="352">
        <v>0.9</v>
      </c>
      <c r="J133" s="353">
        <f>249/0.9</f>
        <v>276.66666666666669</v>
      </c>
      <c r="K133" s="352">
        <f>249/0.9</f>
        <v>276.66666666666669</v>
      </c>
      <c r="L133" s="351"/>
      <c r="O133" s="4" t="s">
        <v>227</v>
      </c>
    </row>
    <row r="134" spans="1:15" x14ac:dyDescent="0.25">
      <c r="A134" s="170" t="s">
        <v>180</v>
      </c>
      <c r="B134" s="170" t="s">
        <v>263</v>
      </c>
      <c r="C134" s="199" t="s">
        <v>216</v>
      </c>
      <c r="D134" s="200">
        <v>389</v>
      </c>
      <c r="E134" s="175" t="s">
        <v>227</v>
      </c>
      <c r="F134" s="352">
        <v>0</v>
      </c>
      <c r="G134" s="352">
        <v>0.86</v>
      </c>
      <c r="H134" s="352">
        <v>0</v>
      </c>
      <c r="I134" s="352">
        <v>0.86</v>
      </c>
      <c r="J134" s="353">
        <v>0</v>
      </c>
      <c r="K134" s="353">
        <f>389/0.86</f>
        <v>452.32558139534882</v>
      </c>
      <c r="L134" s="351"/>
    </row>
    <row r="135" spans="1:15" x14ac:dyDescent="0.25">
      <c r="A135" s="170" t="s">
        <v>163</v>
      </c>
      <c r="B135" s="170" t="s">
        <v>513</v>
      </c>
      <c r="C135" s="199" t="s">
        <v>216</v>
      </c>
      <c r="D135" s="200">
        <v>345</v>
      </c>
      <c r="E135" s="175" t="s">
        <v>227</v>
      </c>
      <c r="F135" s="372">
        <v>0</v>
      </c>
      <c r="G135" s="372">
        <v>0.94</v>
      </c>
      <c r="H135" s="372">
        <v>0</v>
      </c>
      <c r="I135" s="372">
        <v>0.94</v>
      </c>
      <c r="J135" s="375">
        <v>0</v>
      </c>
      <c r="K135" s="375">
        <f>345/0.94</f>
        <v>367.02127659574472</v>
      </c>
      <c r="L135" s="351"/>
    </row>
    <row r="136" spans="1:15" x14ac:dyDescent="0.25">
      <c r="A136" s="170" t="s">
        <v>362</v>
      </c>
      <c r="B136" s="170" t="s">
        <v>322</v>
      </c>
      <c r="C136" s="199" t="s">
        <v>217</v>
      </c>
      <c r="D136" s="200">
        <v>424</v>
      </c>
      <c r="E136" s="175" t="s">
        <v>227</v>
      </c>
      <c r="F136" s="372">
        <v>0.5</v>
      </c>
      <c r="G136" s="372">
        <v>0.88</v>
      </c>
      <c r="H136" s="372">
        <v>0</v>
      </c>
      <c r="I136" s="372">
        <v>1.38</v>
      </c>
      <c r="J136" s="375">
        <f>424/0.5</f>
        <v>848</v>
      </c>
      <c r="K136" s="375">
        <f>424/1.38</f>
        <v>307.24637681159425</v>
      </c>
      <c r="L136" s="351"/>
    </row>
    <row r="137" spans="1:15" x14ac:dyDescent="0.25">
      <c r="A137" s="170" t="s">
        <v>362</v>
      </c>
      <c r="B137" s="170" t="s">
        <v>264</v>
      </c>
      <c r="C137" s="199" t="s">
        <v>217</v>
      </c>
      <c r="D137" s="200">
        <v>381</v>
      </c>
      <c r="E137" s="175" t="s">
        <v>227</v>
      </c>
      <c r="F137" s="372">
        <v>0.5</v>
      </c>
      <c r="G137" s="372">
        <v>0.88</v>
      </c>
      <c r="H137" s="372">
        <v>0</v>
      </c>
      <c r="I137" s="372">
        <v>1.38</v>
      </c>
      <c r="J137" s="375">
        <f>381/0.5</f>
        <v>762</v>
      </c>
      <c r="K137" s="375">
        <f>381/1.38</f>
        <v>276.08695652173913</v>
      </c>
      <c r="L137" s="351"/>
    </row>
    <row r="138" spans="1:15" x14ac:dyDescent="0.25">
      <c r="A138" s="170" t="s">
        <v>362</v>
      </c>
      <c r="B138" s="170" t="s">
        <v>514</v>
      </c>
      <c r="C138" s="199" t="s">
        <v>217</v>
      </c>
      <c r="D138" s="200">
        <v>199</v>
      </c>
      <c r="E138" s="175" t="s">
        <v>224</v>
      </c>
      <c r="F138" s="372">
        <v>0.5</v>
      </c>
      <c r="G138" s="372">
        <v>0.8</v>
      </c>
      <c r="H138" s="372">
        <v>0</v>
      </c>
      <c r="I138" s="372">
        <v>1.3</v>
      </c>
      <c r="J138" s="375">
        <f>199/0.5</f>
        <v>398</v>
      </c>
      <c r="K138" s="375">
        <f>199/1.3</f>
        <v>153.07692307692307</v>
      </c>
      <c r="L138" s="351"/>
    </row>
    <row r="139" spans="1:15" x14ac:dyDescent="0.25">
      <c r="A139" s="170" t="s">
        <v>362</v>
      </c>
      <c r="B139" s="170" t="s">
        <v>323</v>
      </c>
      <c r="C139" s="199" t="s">
        <v>217</v>
      </c>
      <c r="D139" s="200">
        <v>210</v>
      </c>
      <c r="E139" s="175" t="s">
        <v>224</v>
      </c>
      <c r="F139" s="372">
        <v>0.4</v>
      </c>
      <c r="G139" s="372">
        <v>0.88</v>
      </c>
      <c r="H139" s="372">
        <v>0</v>
      </c>
      <c r="I139" s="372">
        <v>1.28</v>
      </c>
      <c r="J139" s="375">
        <f>210/0.4</f>
        <v>525</v>
      </c>
      <c r="K139" s="375">
        <f>210/1.28</f>
        <v>164.0625</v>
      </c>
      <c r="L139" s="351"/>
    </row>
    <row r="140" spans="1:15" x14ac:dyDescent="0.25">
      <c r="A140" s="170" t="s">
        <v>362</v>
      </c>
      <c r="B140" s="170" t="s">
        <v>265</v>
      </c>
      <c r="C140" s="199" t="s">
        <v>217</v>
      </c>
      <c r="D140" s="200">
        <v>323</v>
      </c>
      <c r="E140" s="175" t="s">
        <v>224</v>
      </c>
      <c r="F140" s="372">
        <v>0.5</v>
      </c>
      <c r="G140" s="372">
        <v>0.88</v>
      </c>
      <c r="H140" s="372">
        <v>0</v>
      </c>
      <c r="I140" s="372">
        <v>1.38</v>
      </c>
      <c r="J140" s="375">
        <f>323/0.5</f>
        <v>646</v>
      </c>
      <c r="K140" s="375">
        <f>323/1.38</f>
        <v>234.05797101449278</v>
      </c>
      <c r="L140" s="351"/>
    </row>
    <row r="141" spans="1:15" x14ac:dyDescent="0.25">
      <c r="A141" s="170" t="s">
        <v>362</v>
      </c>
      <c r="B141" s="170" t="s">
        <v>324</v>
      </c>
      <c r="C141" s="199" t="s">
        <v>217</v>
      </c>
      <c r="D141" s="200">
        <v>302</v>
      </c>
      <c r="E141" s="175" t="s">
        <v>224</v>
      </c>
      <c r="F141" s="372">
        <v>0.5</v>
      </c>
      <c r="G141" s="372">
        <v>0.94</v>
      </c>
      <c r="H141" s="372">
        <v>0</v>
      </c>
      <c r="I141" s="372">
        <v>1.44</v>
      </c>
      <c r="J141" s="375">
        <f>302/0.5</f>
        <v>604</v>
      </c>
      <c r="K141" s="375">
        <f>302/1.44</f>
        <v>209.72222222222223</v>
      </c>
      <c r="L141" s="351"/>
    </row>
    <row r="142" spans="1:15" x14ac:dyDescent="0.25">
      <c r="A142" s="170" t="s">
        <v>362</v>
      </c>
      <c r="B142" s="170" t="s">
        <v>515</v>
      </c>
      <c r="C142" s="199" t="s">
        <v>272</v>
      </c>
      <c r="D142" s="200">
        <v>260</v>
      </c>
      <c r="E142" s="175" t="s">
        <v>224</v>
      </c>
      <c r="F142" s="372">
        <v>0.5</v>
      </c>
      <c r="G142" s="372">
        <v>0.88</v>
      </c>
      <c r="H142" s="372">
        <v>0</v>
      </c>
      <c r="I142" s="372">
        <v>1.38</v>
      </c>
      <c r="J142" s="375">
        <f>260/0.5</f>
        <v>520</v>
      </c>
      <c r="K142" s="375">
        <f>260/1.38</f>
        <v>188.40579710144928</v>
      </c>
      <c r="L142" s="351"/>
    </row>
    <row r="143" spans="1:15" x14ac:dyDescent="0.25">
      <c r="A143" s="170" t="s">
        <v>362</v>
      </c>
      <c r="B143" s="170" t="s">
        <v>266</v>
      </c>
      <c r="C143" s="199" t="s">
        <v>217</v>
      </c>
      <c r="D143" s="200">
        <v>389</v>
      </c>
      <c r="E143" s="175" t="s">
        <v>227</v>
      </c>
      <c r="F143" s="372">
        <v>0</v>
      </c>
      <c r="G143" s="372">
        <v>0.88</v>
      </c>
      <c r="H143" s="372">
        <v>0</v>
      </c>
      <c r="I143" s="372">
        <v>0.88</v>
      </c>
      <c r="J143" s="375">
        <v>0</v>
      </c>
      <c r="K143" s="375">
        <f>389/0.88</f>
        <v>442.04545454545456</v>
      </c>
      <c r="L143" s="351"/>
    </row>
    <row r="144" spans="1:15" x14ac:dyDescent="0.25">
      <c r="A144" s="170" t="s">
        <v>157</v>
      </c>
      <c r="B144" s="170" t="s">
        <v>516</v>
      </c>
      <c r="C144" s="199" t="s">
        <v>217</v>
      </c>
      <c r="D144" s="200">
        <v>4</v>
      </c>
      <c r="E144" s="175" t="s">
        <v>227</v>
      </c>
      <c r="F144" s="372">
        <v>0</v>
      </c>
      <c r="G144" s="372">
        <v>0</v>
      </c>
      <c r="H144" s="372">
        <v>0</v>
      </c>
      <c r="I144" s="372">
        <v>0</v>
      </c>
      <c r="J144" s="375">
        <v>0</v>
      </c>
      <c r="K144" s="375">
        <v>0</v>
      </c>
      <c r="L144" s="351"/>
    </row>
    <row r="145" spans="1:12" x14ac:dyDescent="0.25">
      <c r="A145" s="170" t="s">
        <v>157</v>
      </c>
      <c r="B145" s="170" t="s">
        <v>517</v>
      </c>
      <c r="C145" s="199" t="s">
        <v>217</v>
      </c>
      <c r="D145" s="200">
        <v>61</v>
      </c>
      <c r="E145" s="175" t="s">
        <v>227</v>
      </c>
      <c r="F145" s="372">
        <v>0</v>
      </c>
      <c r="G145" s="372">
        <v>0</v>
      </c>
      <c r="H145" s="372">
        <v>0</v>
      </c>
      <c r="I145" s="372">
        <v>0</v>
      </c>
      <c r="J145" s="375">
        <v>0</v>
      </c>
      <c r="K145" s="375">
        <v>0</v>
      </c>
      <c r="L145" s="351"/>
    </row>
    <row r="146" spans="1:12" x14ac:dyDescent="0.25">
      <c r="A146" s="170" t="s">
        <v>157</v>
      </c>
      <c r="B146" s="170" t="s">
        <v>518</v>
      </c>
      <c r="C146" s="171" t="s">
        <v>217</v>
      </c>
      <c r="D146" s="200">
        <v>12</v>
      </c>
      <c r="E146" s="175" t="s">
        <v>227</v>
      </c>
      <c r="F146" s="372">
        <v>0</v>
      </c>
      <c r="G146" s="372">
        <v>0</v>
      </c>
      <c r="H146" s="372">
        <v>0</v>
      </c>
      <c r="I146" s="372">
        <v>0</v>
      </c>
      <c r="J146" s="375">
        <v>0</v>
      </c>
      <c r="K146" s="375">
        <v>0</v>
      </c>
      <c r="L146" s="351"/>
    </row>
    <row r="147" spans="1:12" x14ac:dyDescent="0.25">
      <c r="A147" s="170" t="s">
        <v>182</v>
      </c>
      <c r="B147" s="170" t="s">
        <v>519</v>
      </c>
      <c r="C147" s="171" t="s">
        <v>275</v>
      </c>
      <c r="D147" s="200">
        <v>253</v>
      </c>
      <c r="E147" s="175" t="s">
        <v>224</v>
      </c>
      <c r="F147" s="372">
        <v>0.4</v>
      </c>
      <c r="G147" s="372">
        <v>0.88</v>
      </c>
      <c r="H147" s="372">
        <v>0</v>
      </c>
      <c r="I147" s="372">
        <v>1.28</v>
      </c>
      <c r="J147" s="375">
        <f>253/0.4</f>
        <v>632.5</v>
      </c>
      <c r="K147" s="375">
        <f>253/1.28</f>
        <v>197.65625</v>
      </c>
      <c r="L147" s="351"/>
    </row>
    <row r="148" spans="1:12" x14ac:dyDescent="0.25">
      <c r="A148" s="170" t="s">
        <v>159</v>
      </c>
      <c r="B148" s="170" t="s">
        <v>267</v>
      </c>
      <c r="C148" s="171" t="s">
        <v>273</v>
      </c>
      <c r="D148" s="200">
        <v>236</v>
      </c>
      <c r="E148" s="175" t="s">
        <v>224</v>
      </c>
      <c r="F148" s="372">
        <v>1</v>
      </c>
      <c r="G148" s="372">
        <v>0</v>
      </c>
      <c r="H148" s="372">
        <v>0</v>
      </c>
      <c r="I148" s="372">
        <v>1</v>
      </c>
      <c r="J148" s="375">
        <f>236/1</f>
        <v>236</v>
      </c>
      <c r="K148" s="375">
        <f>236/1</f>
        <v>236</v>
      </c>
      <c r="L148" s="351"/>
    </row>
    <row r="149" spans="1:12" x14ac:dyDescent="0.25">
      <c r="A149" s="170" t="s">
        <v>168</v>
      </c>
      <c r="B149" s="170" t="s">
        <v>520</v>
      </c>
      <c r="C149" s="171" t="s">
        <v>274</v>
      </c>
      <c r="D149" s="200">
        <v>151</v>
      </c>
      <c r="E149" s="175" t="s">
        <v>233</v>
      </c>
      <c r="F149" s="372">
        <v>0</v>
      </c>
      <c r="G149" s="372">
        <v>0</v>
      </c>
      <c r="H149" s="372">
        <v>0</v>
      </c>
      <c r="I149" s="372">
        <v>0</v>
      </c>
      <c r="J149" s="375">
        <v>0</v>
      </c>
      <c r="K149" s="375">
        <v>0</v>
      </c>
      <c r="L149" s="351"/>
    </row>
    <row r="150" spans="1:12" x14ac:dyDescent="0.25">
      <c r="A150" s="170" t="s">
        <v>168</v>
      </c>
      <c r="B150" s="170" t="s">
        <v>268</v>
      </c>
      <c r="C150" s="171" t="s">
        <v>274</v>
      </c>
      <c r="D150" s="200">
        <v>208</v>
      </c>
      <c r="E150" s="175" t="s">
        <v>227</v>
      </c>
      <c r="F150" s="372">
        <v>0</v>
      </c>
      <c r="G150" s="372">
        <v>0</v>
      </c>
      <c r="H150" s="372">
        <v>0</v>
      </c>
      <c r="I150" s="372">
        <v>0</v>
      </c>
      <c r="J150" s="375">
        <v>0</v>
      </c>
      <c r="K150" s="375">
        <v>0</v>
      </c>
      <c r="L150" s="351"/>
    </row>
    <row r="151" spans="1:12" x14ac:dyDescent="0.25">
      <c r="A151" s="170" t="s">
        <v>148</v>
      </c>
      <c r="B151" s="170" t="s">
        <v>249</v>
      </c>
      <c r="C151" s="171" t="s">
        <v>217</v>
      </c>
      <c r="D151" s="200">
        <v>388</v>
      </c>
      <c r="E151" s="175" t="s">
        <v>227</v>
      </c>
      <c r="F151" s="372">
        <v>0</v>
      </c>
      <c r="G151" s="372">
        <v>1</v>
      </c>
      <c r="H151" s="372">
        <v>0</v>
      </c>
      <c r="I151" s="372">
        <v>1</v>
      </c>
      <c r="J151" s="375">
        <v>0</v>
      </c>
      <c r="K151" s="375">
        <f>388/1</f>
        <v>388</v>
      </c>
      <c r="L151" s="351"/>
    </row>
    <row r="152" spans="1:12" x14ac:dyDescent="0.25">
      <c r="A152" s="170" t="s">
        <v>148</v>
      </c>
      <c r="B152" s="170" t="s">
        <v>521</v>
      </c>
      <c r="C152" s="171" t="s">
        <v>217</v>
      </c>
      <c r="D152" s="200">
        <v>312</v>
      </c>
      <c r="E152" s="175" t="s">
        <v>227</v>
      </c>
      <c r="F152" s="372">
        <v>0</v>
      </c>
      <c r="G152" s="372">
        <v>1</v>
      </c>
      <c r="H152" s="372">
        <v>0</v>
      </c>
      <c r="I152" s="372">
        <v>1</v>
      </c>
      <c r="J152" s="375">
        <v>0</v>
      </c>
      <c r="K152" s="375">
        <f>312/1</f>
        <v>312</v>
      </c>
      <c r="L152" s="351"/>
    </row>
    <row r="153" spans="1:12" x14ac:dyDescent="0.25">
      <c r="A153" s="170" t="s">
        <v>148</v>
      </c>
      <c r="B153" s="170" t="s">
        <v>325</v>
      </c>
      <c r="C153" s="171" t="s">
        <v>217</v>
      </c>
      <c r="D153" s="200">
        <v>164</v>
      </c>
      <c r="E153" s="175" t="s">
        <v>227</v>
      </c>
      <c r="F153" s="372">
        <v>0</v>
      </c>
      <c r="G153" s="372">
        <v>0.95</v>
      </c>
      <c r="H153" s="372">
        <v>0</v>
      </c>
      <c r="I153" s="372">
        <v>0.95</v>
      </c>
      <c r="J153" s="375">
        <v>0</v>
      </c>
      <c r="K153" s="375">
        <f>164/0.95</f>
        <v>172.63157894736844</v>
      </c>
      <c r="L153" s="351"/>
    </row>
    <row r="154" spans="1:12" x14ac:dyDescent="0.25">
      <c r="A154" s="170" t="s">
        <v>148</v>
      </c>
      <c r="B154" s="170" t="s">
        <v>522</v>
      </c>
      <c r="C154" s="199" t="s">
        <v>217</v>
      </c>
      <c r="D154" s="200">
        <v>354</v>
      </c>
      <c r="E154" s="175" t="s">
        <v>224</v>
      </c>
      <c r="F154" s="372">
        <v>0</v>
      </c>
      <c r="G154" s="372">
        <v>1</v>
      </c>
      <c r="H154" s="372">
        <v>0</v>
      </c>
      <c r="I154" s="372">
        <v>1</v>
      </c>
      <c r="J154" s="375">
        <v>0</v>
      </c>
      <c r="K154" s="375">
        <f>354/1</f>
        <v>354</v>
      </c>
      <c r="L154" s="351"/>
    </row>
    <row r="155" spans="1:12" x14ac:dyDescent="0.25">
      <c r="A155" s="170" t="s">
        <v>148</v>
      </c>
      <c r="B155" s="170" t="s">
        <v>269</v>
      </c>
      <c r="C155" s="171" t="s">
        <v>222</v>
      </c>
      <c r="D155" s="200">
        <v>102</v>
      </c>
      <c r="E155" s="175" t="s">
        <v>227</v>
      </c>
      <c r="F155" s="352">
        <v>0</v>
      </c>
      <c r="G155" s="352">
        <v>1</v>
      </c>
      <c r="H155" s="352">
        <v>0</v>
      </c>
      <c r="I155" s="352">
        <v>1</v>
      </c>
      <c r="J155" s="207">
        <v>0</v>
      </c>
      <c r="K155" s="353">
        <f>102/1</f>
        <v>102</v>
      </c>
      <c r="L155" s="351"/>
    </row>
    <row r="156" spans="1:12" x14ac:dyDescent="0.25">
      <c r="A156" s="170" t="s">
        <v>148</v>
      </c>
      <c r="B156" s="170" t="s">
        <v>523</v>
      </c>
      <c r="C156" s="199" t="s">
        <v>217</v>
      </c>
      <c r="D156" s="200">
        <v>82</v>
      </c>
      <c r="E156" s="175" t="s">
        <v>227</v>
      </c>
      <c r="F156" s="352">
        <v>0</v>
      </c>
      <c r="G156" s="352">
        <v>1</v>
      </c>
      <c r="H156" s="352">
        <v>0</v>
      </c>
      <c r="I156" s="352">
        <v>1</v>
      </c>
      <c r="J156" s="207">
        <v>0</v>
      </c>
      <c r="K156" s="353">
        <f>82/1</f>
        <v>82</v>
      </c>
      <c r="L156" s="351"/>
    </row>
    <row r="157" spans="1:12" x14ac:dyDescent="0.25">
      <c r="A157" s="170" t="s">
        <v>148</v>
      </c>
      <c r="B157" s="170" t="s">
        <v>270</v>
      </c>
      <c r="C157" s="171" t="s">
        <v>217</v>
      </c>
      <c r="D157" s="200">
        <v>258</v>
      </c>
      <c r="E157" s="175" t="s">
        <v>227</v>
      </c>
      <c r="F157" s="352">
        <v>0</v>
      </c>
      <c r="G157" s="352">
        <v>1</v>
      </c>
      <c r="H157" s="352">
        <v>0</v>
      </c>
      <c r="I157" s="352">
        <v>1</v>
      </c>
      <c r="J157" s="353">
        <v>0</v>
      </c>
      <c r="K157" s="353">
        <f>258/1</f>
        <v>258</v>
      </c>
      <c r="L157" s="351"/>
    </row>
    <row r="158" spans="1:12" x14ac:dyDescent="0.25">
      <c r="A158" s="170" t="s">
        <v>148</v>
      </c>
      <c r="B158" s="170" t="s">
        <v>524</v>
      </c>
      <c r="C158" s="171" t="s">
        <v>217</v>
      </c>
      <c r="D158" s="200">
        <v>286</v>
      </c>
      <c r="E158" s="175" t="s">
        <v>227</v>
      </c>
      <c r="F158" s="352">
        <v>0</v>
      </c>
      <c r="G158" s="352">
        <v>1</v>
      </c>
      <c r="H158" s="352">
        <v>0</v>
      </c>
      <c r="I158" s="352">
        <v>1</v>
      </c>
      <c r="J158" s="207">
        <v>0</v>
      </c>
      <c r="K158" s="353">
        <f>286/1</f>
        <v>286</v>
      </c>
      <c r="L158" s="351"/>
    </row>
    <row r="159" spans="1:12" x14ac:dyDescent="0.25">
      <c r="A159" s="170" t="s">
        <v>148</v>
      </c>
      <c r="B159" s="170" t="s">
        <v>525</v>
      </c>
      <c r="C159" s="171" t="s">
        <v>218</v>
      </c>
      <c r="D159" s="200">
        <v>368</v>
      </c>
      <c r="E159" s="175" t="s">
        <v>227</v>
      </c>
      <c r="F159" s="352">
        <v>0</v>
      </c>
      <c r="G159" s="352">
        <v>1</v>
      </c>
      <c r="H159" s="352">
        <v>0</v>
      </c>
      <c r="I159" s="352">
        <v>1</v>
      </c>
      <c r="J159" s="353">
        <v>0</v>
      </c>
      <c r="K159" s="353">
        <f>368/1</f>
        <v>368</v>
      </c>
      <c r="L159" s="351"/>
    </row>
    <row r="160" spans="1:12" x14ac:dyDescent="0.25">
      <c r="A160" s="170" t="s">
        <v>148</v>
      </c>
      <c r="B160" s="170" t="s">
        <v>526</v>
      </c>
      <c r="C160" s="199" t="s">
        <v>217</v>
      </c>
      <c r="D160" s="200">
        <v>344</v>
      </c>
      <c r="E160" s="175" t="s">
        <v>227</v>
      </c>
      <c r="F160" s="352">
        <v>0</v>
      </c>
      <c r="G160" s="352">
        <v>1</v>
      </c>
      <c r="H160" s="352">
        <v>0</v>
      </c>
      <c r="I160" s="352">
        <v>1</v>
      </c>
      <c r="J160" s="353">
        <v>0</v>
      </c>
      <c r="K160" s="353">
        <f>344/1</f>
        <v>344</v>
      </c>
      <c r="L160" s="351"/>
    </row>
    <row r="161" spans="1:12" x14ac:dyDescent="0.25">
      <c r="A161" s="170" t="s">
        <v>256</v>
      </c>
      <c r="B161" s="170" t="s">
        <v>527</v>
      </c>
      <c r="C161" s="199" t="s">
        <v>217</v>
      </c>
      <c r="D161" s="200">
        <v>32</v>
      </c>
      <c r="E161" s="175" t="s">
        <v>227</v>
      </c>
      <c r="F161" s="352">
        <v>0</v>
      </c>
      <c r="G161" s="352">
        <v>0.13</v>
      </c>
      <c r="H161" s="352">
        <v>0</v>
      </c>
      <c r="I161" s="352">
        <v>0.13</v>
      </c>
      <c r="J161" s="353">
        <v>0</v>
      </c>
      <c r="K161" s="353">
        <f>32/0.13</f>
        <v>246.15384615384613</v>
      </c>
      <c r="L161" s="351"/>
    </row>
    <row r="162" spans="1:12" x14ac:dyDescent="0.25">
      <c r="A162" s="170" t="s">
        <v>178</v>
      </c>
      <c r="B162" s="170" t="s">
        <v>250</v>
      </c>
      <c r="C162" s="199" t="s">
        <v>222</v>
      </c>
      <c r="D162" s="200">
        <v>435</v>
      </c>
      <c r="E162" s="175" t="s">
        <v>227</v>
      </c>
      <c r="F162" s="352">
        <v>0</v>
      </c>
      <c r="G162" s="352">
        <v>0.93</v>
      </c>
      <c r="H162" s="352">
        <v>0</v>
      </c>
      <c r="I162" s="352">
        <v>0.93</v>
      </c>
      <c r="J162" s="353">
        <v>0</v>
      </c>
      <c r="K162" s="353">
        <f>435/0.93</f>
        <v>467.74193548387092</v>
      </c>
      <c r="L162" s="351"/>
    </row>
    <row r="163" spans="1:12" x14ac:dyDescent="0.25">
      <c r="A163" s="170" t="s">
        <v>178</v>
      </c>
      <c r="B163" s="170" t="s">
        <v>187</v>
      </c>
      <c r="C163" s="220" t="s">
        <v>606</v>
      </c>
      <c r="D163" s="200">
        <v>285</v>
      </c>
      <c r="E163" s="175" t="s">
        <v>227</v>
      </c>
      <c r="F163" s="352">
        <v>0</v>
      </c>
      <c r="G163" s="352">
        <v>0.93</v>
      </c>
      <c r="H163" s="352">
        <v>0</v>
      </c>
      <c r="I163" s="352">
        <v>0.93</v>
      </c>
      <c r="J163" s="353">
        <v>0</v>
      </c>
      <c r="K163" s="353">
        <f>285/0.93</f>
        <v>306.45161290322579</v>
      </c>
      <c r="L163" s="351"/>
    </row>
    <row r="164" spans="1:12" x14ac:dyDescent="0.25">
      <c r="A164" s="170" t="s">
        <v>178</v>
      </c>
      <c r="B164" s="170" t="s">
        <v>191</v>
      </c>
      <c r="C164" s="220" t="s">
        <v>223</v>
      </c>
      <c r="D164" s="200">
        <v>355</v>
      </c>
      <c r="E164" s="175" t="s">
        <v>224</v>
      </c>
      <c r="F164" s="352">
        <v>1</v>
      </c>
      <c r="G164" s="352">
        <v>1.55</v>
      </c>
      <c r="H164" s="352">
        <v>0</v>
      </c>
      <c r="I164" s="352">
        <v>2.5499999999999998</v>
      </c>
      <c r="J164" s="353">
        <f>355/1</f>
        <v>355</v>
      </c>
      <c r="K164" s="353">
        <f>355/2.55</f>
        <v>139.21568627450981</v>
      </c>
      <c r="L164" s="351"/>
    </row>
    <row r="165" spans="1:12" x14ac:dyDescent="0.25">
      <c r="A165" s="170" t="s">
        <v>178</v>
      </c>
      <c r="B165" s="170" t="s">
        <v>197</v>
      </c>
      <c r="C165" s="171" t="s">
        <v>222</v>
      </c>
      <c r="D165" s="200">
        <v>387</v>
      </c>
      <c r="E165" s="175" t="s">
        <v>227</v>
      </c>
      <c r="F165" s="352">
        <v>0</v>
      </c>
      <c r="G165" s="352">
        <v>0.93</v>
      </c>
      <c r="H165" s="352">
        <v>0</v>
      </c>
      <c r="I165" s="352">
        <v>0.93</v>
      </c>
      <c r="J165" s="353">
        <v>0</v>
      </c>
      <c r="K165" s="353">
        <f>387/0.93</f>
        <v>416.12903225806451</v>
      </c>
      <c r="L165" s="351"/>
    </row>
    <row r="166" spans="1:12" x14ac:dyDescent="0.25">
      <c r="A166" s="170" t="s">
        <v>364</v>
      </c>
      <c r="B166" s="170" t="s">
        <v>271</v>
      </c>
      <c r="C166" s="171" t="s">
        <v>216</v>
      </c>
      <c r="D166" s="200">
        <v>287</v>
      </c>
      <c r="E166" s="175" t="s">
        <v>224</v>
      </c>
      <c r="F166" s="352">
        <v>0</v>
      </c>
      <c r="G166" s="352">
        <v>1</v>
      </c>
      <c r="H166" s="352">
        <v>0</v>
      </c>
      <c r="I166" s="352">
        <v>1</v>
      </c>
      <c r="J166" s="353">
        <v>0</v>
      </c>
      <c r="K166" s="353">
        <f>287/1</f>
        <v>287</v>
      </c>
      <c r="L166" s="351"/>
    </row>
    <row r="167" spans="1:12" x14ac:dyDescent="0.25">
      <c r="A167" s="170" t="s">
        <v>364</v>
      </c>
      <c r="B167" s="170" t="s">
        <v>326</v>
      </c>
      <c r="C167" s="171" t="s">
        <v>216</v>
      </c>
      <c r="D167" s="200">
        <v>332</v>
      </c>
      <c r="E167" s="175" t="s">
        <v>227</v>
      </c>
      <c r="F167" s="352">
        <v>0</v>
      </c>
      <c r="G167" s="352">
        <v>1</v>
      </c>
      <c r="H167" s="352">
        <v>0</v>
      </c>
      <c r="I167" s="352">
        <v>1</v>
      </c>
      <c r="J167" s="353">
        <v>0</v>
      </c>
      <c r="K167" s="353">
        <f>332/1</f>
        <v>332</v>
      </c>
      <c r="L167" s="351"/>
    </row>
    <row r="168" spans="1:12" x14ac:dyDescent="0.25">
      <c r="A168" s="170" t="s">
        <v>364</v>
      </c>
      <c r="B168" s="170" t="s">
        <v>528</v>
      </c>
      <c r="C168" s="171" t="s">
        <v>216</v>
      </c>
      <c r="D168" s="200">
        <v>312</v>
      </c>
      <c r="E168" s="175" t="s">
        <v>227</v>
      </c>
      <c r="F168" s="352">
        <v>0</v>
      </c>
      <c r="G168" s="352">
        <v>1</v>
      </c>
      <c r="H168" s="352">
        <v>0</v>
      </c>
      <c r="I168" s="352">
        <v>1</v>
      </c>
      <c r="J168" s="353">
        <v>0</v>
      </c>
      <c r="K168" s="353">
        <f>312/1</f>
        <v>312</v>
      </c>
      <c r="L168" s="351"/>
    </row>
    <row r="169" spans="1:12" x14ac:dyDescent="0.25">
      <c r="A169" s="170" t="s">
        <v>364</v>
      </c>
      <c r="B169" s="170" t="s">
        <v>190</v>
      </c>
      <c r="C169" s="171" t="s">
        <v>216</v>
      </c>
      <c r="D169" s="200">
        <v>293</v>
      </c>
      <c r="E169" s="175" t="s">
        <v>227</v>
      </c>
      <c r="F169" s="352">
        <v>0</v>
      </c>
      <c r="G169" s="352">
        <v>1</v>
      </c>
      <c r="H169" s="352">
        <v>0</v>
      </c>
      <c r="I169" s="352">
        <v>1</v>
      </c>
      <c r="J169" s="353">
        <v>0</v>
      </c>
      <c r="K169" s="353">
        <f>293/1</f>
        <v>293</v>
      </c>
      <c r="L169" s="351"/>
    </row>
    <row r="170" spans="1:12" x14ac:dyDescent="0.25">
      <c r="A170" s="170" t="s">
        <v>364</v>
      </c>
      <c r="B170" s="170" t="s">
        <v>327</v>
      </c>
      <c r="C170" s="171" t="s">
        <v>216</v>
      </c>
      <c r="D170" s="200">
        <v>326</v>
      </c>
      <c r="E170" s="175" t="s">
        <v>224</v>
      </c>
      <c r="F170" s="352">
        <v>0</v>
      </c>
      <c r="G170" s="352">
        <v>1</v>
      </c>
      <c r="H170" s="352">
        <v>0</v>
      </c>
      <c r="I170" s="352">
        <v>1</v>
      </c>
      <c r="J170" s="353">
        <v>0</v>
      </c>
      <c r="K170" s="353">
        <f>326/1</f>
        <v>326</v>
      </c>
      <c r="L170" s="351"/>
    </row>
    <row r="171" spans="1:12" x14ac:dyDescent="0.25">
      <c r="A171" s="170" t="s">
        <v>364</v>
      </c>
      <c r="B171" s="170" t="s">
        <v>530</v>
      </c>
      <c r="C171" s="171" t="s">
        <v>217</v>
      </c>
      <c r="D171" s="200">
        <v>442</v>
      </c>
      <c r="E171" s="175" t="s">
        <v>224</v>
      </c>
      <c r="F171" s="352">
        <v>0</v>
      </c>
      <c r="G171" s="352">
        <v>1.25</v>
      </c>
      <c r="H171" s="352">
        <v>0</v>
      </c>
      <c r="I171" s="352">
        <v>1.25</v>
      </c>
      <c r="J171" s="207">
        <v>0</v>
      </c>
      <c r="K171" s="207">
        <f>442/1.25</f>
        <v>353.6</v>
      </c>
      <c r="L171" s="351"/>
    </row>
    <row r="172" spans="1:12" x14ac:dyDescent="0.25">
      <c r="A172" s="170" t="s">
        <v>184</v>
      </c>
      <c r="B172" s="170" t="s">
        <v>531</v>
      </c>
      <c r="C172" s="171" t="s">
        <v>216</v>
      </c>
      <c r="D172" s="200">
        <v>10</v>
      </c>
      <c r="E172" s="175" t="s">
        <v>224</v>
      </c>
      <c r="F172" s="352">
        <v>1.1000000000000001</v>
      </c>
      <c r="G172" s="352">
        <v>0</v>
      </c>
      <c r="H172" s="352">
        <v>1</v>
      </c>
      <c r="I172" s="352">
        <v>2.1</v>
      </c>
      <c r="J172" s="207">
        <f>10/1.1</f>
        <v>9.0909090909090899</v>
      </c>
      <c r="K172" s="207">
        <f>10/2.1</f>
        <v>4.7619047619047619</v>
      </c>
      <c r="L172" s="351"/>
    </row>
    <row r="173" spans="1:12" x14ac:dyDescent="0.25">
      <c r="A173" s="170" t="s">
        <v>184</v>
      </c>
      <c r="B173" s="170" t="s">
        <v>199</v>
      </c>
      <c r="C173" s="171" t="s">
        <v>216</v>
      </c>
      <c r="D173" s="200">
        <v>296</v>
      </c>
      <c r="E173" s="175" t="s">
        <v>224</v>
      </c>
      <c r="F173" s="352">
        <v>0.3</v>
      </c>
      <c r="G173" s="352">
        <v>0.88</v>
      </c>
      <c r="H173" s="352">
        <v>0</v>
      </c>
      <c r="I173" s="352">
        <v>1.18</v>
      </c>
      <c r="J173" s="207">
        <f>296/0.3</f>
        <v>986.66666666666674</v>
      </c>
      <c r="K173" s="207">
        <f>296/1.18</f>
        <v>250.84745762711864</v>
      </c>
      <c r="L173" s="351"/>
    </row>
    <row r="174" spans="1:12" x14ac:dyDescent="0.25">
      <c r="A174" s="170" t="s">
        <v>149</v>
      </c>
      <c r="B174" s="170" t="s">
        <v>328</v>
      </c>
      <c r="C174" s="171" t="s">
        <v>216</v>
      </c>
      <c r="D174" s="200">
        <v>290</v>
      </c>
      <c r="E174" s="175" t="s">
        <v>224</v>
      </c>
      <c r="F174" s="352">
        <v>0.2</v>
      </c>
      <c r="G174" s="352">
        <v>0.88</v>
      </c>
      <c r="H174" s="352">
        <v>0</v>
      </c>
      <c r="I174" s="352">
        <v>1.08</v>
      </c>
      <c r="J174" s="353">
        <f>290/0.2</f>
        <v>1450</v>
      </c>
      <c r="K174" s="353">
        <f>290/1.08</f>
        <v>268.51851851851848</v>
      </c>
      <c r="L174" s="351"/>
    </row>
    <row r="175" spans="1:12" x14ac:dyDescent="0.25">
      <c r="A175" s="170" t="s">
        <v>149</v>
      </c>
      <c r="B175" s="170" t="s">
        <v>329</v>
      </c>
      <c r="C175" s="171" t="s">
        <v>216</v>
      </c>
      <c r="D175" s="200">
        <v>301</v>
      </c>
      <c r="E175" s="175" t="s">
        <v>224</v>
      </c>
      <c r="F175" s="352">
        <v>0.2</v>
      </c>
      <c r="G175" s="352">
        <v>0.94</v>
      </c>
      <c r="H175" s="352">
        <v>0</v>
      </c>
      <c r="I175" s="352">
        <v>1.1399999999999999</v>
      </c>
      <c r="J175" s="207">
        <f>301/0.2</f>
        <v>1505</v>
      </c>
      <c r="K175" s="207">
        <f>301/1.14</f>
        <v>264.03508771929825</v>
      </c>
      <c r="L175" s="351"/>
    </row>
    <row r="176" spans="1:12" x14ac:dyDescent="0.25">
      <c r="A176" s="170" t="s">
        <v>149</v>
      </c>
      <c r="B176" s="170" t="s">
        <v>330</v>
      </c>
      <c r="C176" s="171" t="s">
        <v>216</v>
      </c>
      <c r="D176" s="200">
        <v>303</v>
      </c>
      <c r="E176" s="175" t="s">
        <v>224</v>
      </c>
      <c r="F176" s="352">
        <v>0.2</v>
      </c>
      <c r="G176" s="352">
        <v>0.88</v>
      </c>
      <c r="H176" s="352">
        <v>0</v>
      </c>
      <c r="I176" s="352">
        <v>1.08</v>
      </c>
      <c r="J176" s="353">
        <f>303/0.2</f>
        <v>1515</v>
      </c>
      <c r="K176" s="353">
        <f>303/1.08</f>
        <v>280.55555555555554</v>
      </c>
      <c r="L176" s="351"/>
    </row>
    <row r="177" spans="1:13" x14ac:dyDescent="0.25">
      <c r="A177" s="170" t="s">
        <v>149</v>
      </c>
      <c r="B177" s="170" t="s">
        <v>331</v>
      </c>
      <c r="C177" s="171" t="s">
        <v>216</v>
      </c>
      <c r="D177" s="221">
        <v>5</v>
      </c>
      <c r="E177" s="175" t="s">
        <v>224</v>
      </c>
      <c r="F177" s="352">
        <v>0</v>
      </c>
      <c r="G177" s="352">
        <v>0</v>
      </c>
      <c r="H177" s="352">
        <v>0</v>
      </c>
      <c r="I177" s="352">
        <v>0</v>
      </c>
      <c r="J177" s="353">
        <v>0</v>
      </c>
      <c r="K177" s="353">
        <v>0</v>
      </c>
      <c r="L177" s="351"/>
    </row>
    <row r="178" spans="1:13" x14ac:dyDescent="0.25">
      <c r="A178" s="170" t="s">
        <v>149</v>
      </c>
      <c r="B178" s="170" t="s">
        <v>332</v>
      </c>
      <c r="C178" s="171" t="s">
        <v>216</v>
      </c>
      <c r="D178" s="200">
        <v>16</v>
      </c>
      <c r="E178" s="175" t="s">
        <v>224</v>
      </c>
      <c r="F178" s="352">
        <v>0</v>
      </c>
      <c r="G178" s="352">
        <v>0</v>
      </c>
      <c r="H178" s="352">
        <v>0</v>
      </c>
      <c r="I178" s="352">
        <v>0</v>
      </c>
      <c r="J178" s="353">
        <v>0</v>
      </c>
      <c r="K178" s="353">
        <v>0</v>
      </c>
      <c r="L178" s="351"/>
    </row>
    <row r="179" spans="1:13" x14ac:dyDescent="0.25">
      <c r="A179" s="170" t="s">
        <v>181</v>
      </c>
      <c r="B179" s="170" t="s">
        <v>532</v>
      </c>
      <c r="C179" s="171" t="s">
        <v>220</v>
      </c>
      <c r="D179" s="200">
        <v>192</v>
      </c>
      <c r="E179" s="175" t="s">
        <v>227</v>
      </c>
      <c r="F179" s="352">
        <v>0</v>
      </c>
      <c r="G179" s="352">
        <v>0.7</v>
      </c>
      <c r="H179" s="352">
        <v>0</v>
      </c>
      <c r="I179" s="352">
        <v>0.7</v>
      </c>
      <c r="J179" s="353">
        <v>0</v>
      </c>
      <c r="K179" s="353">
        <f>192/0.7</f>
        <v>274.28571428571428</v>
      </c>
      <c r="L179" s="351"/>
      <c r="M179" s="4" t="s">
        <v>227</v>
      </c>
    </row>
    <row r="180" spans="1:13" x14ac:dyDescent="0.25">
      <c r="A180" s="170" t="s">
        <v>181</v>
      </c>
      <c r="B180" s="170" t="s">
        <v>533</v>
      </c>
      <c r="C180" s="171" t="s">
        <v>221</v>
      </c>
      <c r="D180" s="200">
        <v>186</v>
      </c>
      <c r="E180" s="175" t="s">
        <v>227</v>
      </c>
      <c r="F180" s="352">
        <v>0</v>
      </c>
      <c r="G180" s="352">
        <v>0.69</v>
      </c>
      <c r="H180" s="352">
        <v>0</v>
      </c>
      <c r="I180" s="352">
        <v>0.69</v>
      </c>
      <c r="J180" s="353">
        <v>0</v>
      </c>
      <c r="K180" s="353">
        <f>186/0.69</f>
        <v>269.56521739130437</v>
      </c>
      <c r="L180" s="351"/>
      <c r="M180" s="4" t="s">
        <v>227</v>
      </c>
    </row>
    <row r="181" spans="1:13" x14ac:dyDescent="0.25">
      <c r="A181" s="170" t="s">
        <v>179</v>
      </c>
      <c r="B181" s="170" t="s">
        <v>251</v>
      </c>
      <c r="C181" s="171" t="s">
        <v>216</v>
      </c>
      <c r="D181" s="200">
        <v>212</v>
      </c>
      <c r="E181" s="175" t="s">
        <v>227</v>
      </c>
      <c r="F181" s="352">
        <v>0</v>
      </c>
      <c r="G181" s="352">
        <v>1</v>
      </c>
      <c r="H181" s="352">
        <v>0</v>
      </c>
      <c r="I181" s="352">
        <v>1</v>
      </c>
      <c r="J181" s="353">
        <v>0</v>
      </c>
      <c r="K181" s="353">
        <f>212/1</f>
        <v>212</v>
      </c>
      <c r="L181" s="351"/>
    </row>
    <row r="182" spans="1:13" x14ac:dyDescent="0.25">
      <c r="A182" s="170" t="s">
        <v>183</v>
      </c>
      <c r="B182" s="170" t="s">
        <v>333</v>
      </c>
      <c r="C182" s="171" t="s">
        <v>216</v>
      </c>
      <c r="D182" s="200">
        <v>311</v>
      </c>
      <c r="E182" s="175" t="s">
        <v>227</v>
      </c>
      <c r="F182" s="352">
        <v>0</v>
      </c>
      <c r="G182" s="352">
        <v>1</v>
      </c>
      <c r="H182" s="352">
        <v>0</v>
      </c>
      <c r="I182" s="352">
        <v>1</v>
      </c>
      <c r="J182" s="207">
        <v>0</v>
      </c>
      <c r="K182" s="353">
        <f>311/1</f>
        <v>311</v>
      </c>
      <c r="L182" s="351"/>
    </row>
    <row r="183" spans="1:13" x14ac:dyDescent="0.25">
      <c r="A183" s="170" t="s">
        <v>183</v>
      </c>
      <c r="B183" s="170" t="s">
        <v>534</v>
      </c>
      <c r="C183" s="171" t="s">
        <v>216</v>
      </c>
      <c r="D183" s="200">
        <v>307</v>
      </c>
      <c r="E183" s="175" t="s">
        <v>227</v>
      </c>
      <c r="F183" s="352">
        <v>0</v>
      </c>
      <c r="G183" s="352">
        <v>1</v>
      </c>
      <c r="H183" s="352">
        <v>0</v>
      </c>
      <c r="I183" s="352">
        <v>1</v>
      </c>
      <c r="J183" s="353">
        <v>0</v>
      </c>
      <c r="K183" s="353">
        <f>307/1</f>
        <v>307</v>
      </c>
      <c r="L183" s="351"/>
    </row>
    <row r="184" spans="1:13" x14ac:dyDescent="0.25">
      <c r="A184" s="170" t="s">
        <v>183</v>
      </c>
      <c r="B184" s="170" t="s">
        <v>196</v>
      </c>
      <c r="C184" s="171" t="s">
        <v>216</v>
      </c>
      <c r="D184" s="200">
        <v>329</v>
      </c>
      <c r="E184" s="175" t="s">
        <v>227</v>
      </c>
      <c r="F184" s="352">
        <v>0</v>
      </c>
      <c r="G184" s="352">
        <v>1</v>
      </c>
      <c r="H184" s="352">
        <v>0</v>
      </c>
      <c r="I184" s="352">
        <v>1</v>
      </c>
      <c r="J184" s="353">
        <v>0</v>
      </c>
      <c r="K184" s="353">
        <f>329/1</f>
        <v>329</v>
      </c>
      <c r="L184" s="351"/>
    </row>
    <row r="185" spans="1:13" x14ac:dyDescent="0.25">
      <c r="A185" s="170" t="s">
        <v>257</v>
      </c>
      <c r="B185" s="170" t="s">
        <v>535</v>
      </c>
      <c r="C185" s="171" t="s">
        <v>222</v>
      </c>
      <c r="D185" s="200">
        <v>434</v>
      </c>
      <c r="E185" s="175" t="s">
        <v>224</v>
      </c>
      <c r="F185" s="352">
        <v>0.75</v>
      </c>
      <c r="G185" s="352">
        <v>0</v>
      </c>
      <c r="H185" s="352">
        <v>0</v>
      </c>
      <c r="I185" s="352">
        <v>0.75</v>
      </c>
      <c r="J185" s="353">
        <f>434/0.75</f>
        <v>578.66666666666663</v>
      </c>
      <c r="K185" s="353">
        <f>434/0.75</f>
        <v>578.66666666666663</v>
      </c>
      <c r="L185" s="351"/>
    </row>
    <row r="186" spans="1:13" x14ac:dyDescent="0.25">
      <c r="A186" s="170" t="s">
        <v>365</v>
      </c>
      <c r="B186" s="170" t="s">
        <v>334</v>
      </c>
      <c r="C186" s="171" t="s">
        <v>216</v>
      </c>
      <c r="D186" s="200">
        <v>37</v>
      </c>
      <c r="E186" s="175" t="s">
        <v>227</v>
      </c>
      <c r="F186" s="352">
        <v>0.4</v>
      </c>
      <c r="G186" s="352">
        <v>1.6</v>
      </c>
      <c r="H186" s="352">
        <v>0</v>
      </c>
      <c r="I186" s="352">
        <v>2</v>
      </c>
      <c r="J186" s="353">
        <f>37/0.4</f>
        <v>92.5</v>
      </c>
      <c r="K186" s="353">
        <f>37/2</f>
        <v>18.5</v>
      </c>
      <c r="L186" s="351"/>
    </row>
    <row r="187" spans="1:13" x14ac:dyDescent="0.25">
      <c r="A187" s="170" t="s">
        <v>365</v>
      </c>
      <c r="B187" s="170" t="s">
        <v>335</v>
      </c>
      <c r="C187" s="171" t="s">
        <v>216</v>
      </c>
      <c r="D187" s="200">
        <v>304</v>
      </c>
      <c r="E187" s="175" t="s">
        <v>227</v>
      </c>
      <c r="F187" s="352">
        <v>1</v>
      </c>
      <c r="G187" s="352">
        <v>0</v>
      </c>
      <c r="H187" s="352">
        <v>0</v>
      </c>
      <c r="I187" s="352">
        <v>1</v>
      </c>
      <c r="J187" s="353">
        <f>304/1</f>
        <v>304</v>
      </c>
      <c r="K187" s="353">
        <f>304/1</f>
        <v>304</v>
      </c>
      <c r="L187" s="351"/>
    </row>
    <row r="188" spans="1:13" x14ac:dyDescent="0.25">
      <c r="A188" s="170" t="s">
        <v>365</v>
      </c>
      <c r="B188" s="170" t="s">
        <v>536</v>
      </c>
      <c r="C188" s="171" t="s">
        <v>216</v>
      </c>
      <c r="D188" s="200">
        <v>390</v>
      </c>
      <c r="E188" s="175" t="s">
        <v>224</v>
      </c>
      <c r="F188" s="352">
        <v>1</v>
      </c>
      <c r="G188" s="352">
        <v>1</v>
      </c>
      <c r="H188" s="352">
        <v>0</v>
      </c>
      <c r="I188" s="352">
        <v>2</v>
      </c>
      <c r="J188" s="207">
        <f>390/1</f>
        <v>390</v>
      </c>
      <c r="K188" s="207">
        <f>390/2</f>
        <v>195</v>
      </c>
      <c r="L188" s="351"/>
    </row>
    <row r="189" spans="1:13" x14ac:dyDescent="0.25">
      <c r="A189" s="170" t="s">
        <v>174</v>
      </c>
      <c r="B189" s="170" t="s">
        <v>202</v>
      </c>
      <c r="C189" s="171" t="s">
        <v>219</v>
      </c>
      <c r="D189" s="200">
        <v>166</v>
      </c>
      <c r="E189" s="175" t="s">
        <v>224</v>
      </c>
      <c r="F189" s="352">
        <v>0.2</v>
      </c>
      <c r="G189" s="352">
        <v>0.88</v>
      </c>
      <c r="H189" s="352">
        <v>0</v>
      </c>
      <c r="I189" s="352">
        <v>1.08</v>
      </c>
      <c r="J189" s="207">
        <f>166/0.2</f>
        <v>830</v>
      </c>
      <c r="K189" s="207">
        <f>166/1.08</f>
        <v>153.7037037037037</v>
      </c>
      <c r="L189" s="351"/>
    </row>
    <row r="190" spans="1:13" x14ac:dyDescent="0.25">
      <c r="A190" s="170" t="s">
        <v>174</v>
      </c>
      <c r="B190" s="170" t="s">
        <v>173</v>
      </c>
      <c r="C190" s="171" t="s">
        <v>275</v>
      </c>
      <c r="D190" s="200">
        <v>187</v>
      </c>
      <c r="E190" s="175" t="s">
        <v>224</v>
      </c>
      <c r="F190" s="352">
        <v>0.2</v>
      </c>
      <c r="G190" s="352">
        <v>0.88</v>
      </c>
      <c r="H190" s="352">
        <v>0</v>
      </c>
      <c r="I190" s="352">
        <v>1.08</v>
      </c>
      <c r="J190" s="207">
        <f>187/0.2</f>
        <v>935</v>
      </c>
      <c r="K190" s="207">
        <f>187/1.08</f>
        <v>173.14814814814812</v>
      </c>
      <c r="L190" s="351"/>
    </row>
    <row r="191" spans="1:13" x14ac:dyDescent="0.25">
      <c r="A191" s="170" t="s">
        <v>174</v>
      </c>
      <c r="B191" s="170" t="s">
        <v>175</v>
      </c>
      <c r="C191" s="171" t="s">
        <v>273</v>
      </c>
      <c r="D191" s="200">
        <v>164</v>
      </c>
      <c r="E191" s="175" t="s">
        <v>224</v>
      </c>
      <c r="F191" s="352">
        <v>0.2</v>
      </c>
      <c r="G191" s="352">
        <v>0.88</v>
      </c>
      <c r="H191" s="352">
        <v>0</v>
      </c>
      <c r="I191" s="352">
        <v>1.08</v>
      </c>
      <c r="J191" s="207">
        <f>164/0.2</f>
        <v>820</v>
      </c>
      <c r="K191" s="207">
        <f>164/1.08</f>
        <v>151.85185185185185</v>
      </c>
      <c r="L191" s="351"/>
    </row>
    <row r="192" spans="1:13" x14ac:dyDescent="0.25">
      <c r="A192" s="170" t="s">
        <v>366</v>
      </c>
      <c r="B192" s="170" t="s">
        <v>502</v>
      </c>
      <c r="C192" s="171" t="s">
        <v>216</v>
      </c>
      <c r="D192" s="200">
        <v>350</v>
      </c>
      <c r="E192" s="175"/>
      <c r="F192" s="352">
        <v>0</v>
      </c>
      <c r="G192" s="352">
        <v>0.88</v>
      </c>
      <c r="H192" s="352">
        <v>0</v>
      </c>
      <c r="I192" s="352">
        <v>0.88</v>
      </c>
      <c r="J192" s="207">
        <v>0</v>
      </c>
      <c r="K192" s="207">
        <f>350/0.88</f>
        <v>397.72727272727275</v>
      </c>
      <c r="L192" s="351"/>
    </row>
    <row r="193" spans="1:36" x14ac:dyDescent="0.25">
      <c r="A193" s="355"/>
      <c r="B193" s="356"/>
      <c r="C193" s="155" t="s">
        <v>7</v>
      </c>
      <c r="D193" s="262">
        <f>SUM(D131:D192)</f>
        <v>15601</v>
      </c>
      <c r="E193" s="342">
        <v>26</v>
      </c>
      <c r="F193" s="357">
        <f>SUM(F131:F192)</f>
        <v>13.549999999999997</v>
      </c>
      <c r="G193" s="357">
        <f>SUM(G131:G192)</f>
        <v>45.460000000000008</v>
      </c>
      <c r="H193" s="357">
        <f>SUM(H131:H192)</f>
        <v>1</v>
      </c>
      <c r="I193" s="357">
        <f>SUM(I131:I192)</f>
        <v>60.01</v>
      </c>
      <c r="J193" s="357"/>
      <c r="K193" s="357"/>
      <c r="L193" s="351"/>
    </row>
    <row r="194" spans="1:36" x14ac:dyDescent="0.25">
      <c r="A194" s="358"/>
      <c r="B194" s="359"/>
      <c r="C194" s="360" t="s">
        <v>8</v>
      </c>
      <c r="D194" s="262">
        <f>AVERAGE(D131:D192)</f>
        <v>251.62903225806451</v>
      </c>
      <c r="E194" s="342"/>
      <c r="F194" s="357">
        <f>AVERAGE(F131:F192)</f>
        <v>0.21854838709677415</v>
      </c>
      <c r="G194" s="357">
        <f>AVERAGE(G131:G192)</f>
        <v>0.73322580645161306</v>
      </c>
      <c r="H194" s="357">
        <f>AVERAGE(H131:H192)</f>
        <v>1.6129032258064516E-2</v>
      </c>
      <c r="I194" s="357">
        <f>AVERAGE(I131:I192)</f>
        <v>0.96790322580645161</v>
      </c>
      <c r="J194" s="386">
        <f>15601/13.55</f>
        <v>1151.3653136531366</v>
      </c>
      <c r="K194" s="357">
        <f>15601/60.01</f>
        <v>259.97333777703716</v>
      </c>
    </row>
    <row r="195" spans="1:36" x14ac:dyDescent="0.25">
      <c r="A195" s="358"/>
      <c r="B195" s="359"/>
      <c r="C195" s="360" t="s">
        <v>9</v>
      </c>
      <c r="D195" s="262">
        <f>MEDIAN(D131:D192)</f>
        <v>288.5</v>
      </c>
      <c r="E195" s="342"/>
      <c r="F195" s="357">
        <f>MEDIAN(F131:F192)</f>
        <v>0</v>
      </c>
      <c r="G195" s="357">
        <f>MEDIAN(G131:G192)</f>
        <v>0.88</v>
      </c>
      <c r="H195" s="357">
        <f>MEDIAN(H131:H192)</f>
        <v>0</v>
      </c>
      <c r="I195" s="357">
        <f>MEDIAN(I131:I192)</f>
        <v>1</v>
      </c>
      <c r="J195" s="357"/>
      <c r="K195" s="357"/>
    </row>
    <row r="196" spans="1:36" x14ac:dyDescent="0.25">
      <c r="A196" s="361"/>
      <c r="B196" s="362"/>
      <c r="C196" s="360" t="s">
        <v>30</v>
      </c>
      <c r="D196" s="363"/>
      <c r="E196" s="364">
        <v>0.41899999999999998</v>
      </c>
      <c r="F196" s="357"/>
      <c r="G196" s="357"/>
      <c r="H196" s="357"/>
      <c r="I196" s="365"/>
      <c r="J196" s="357"/>
      <c r="K196" s="357"/>
    </row>
    <row r="197" spans="1:36" x14ac:dyDescent="0.25">
      <c r="C197" s="223"/>
    </row>
    <row r="198" spans="1:36" ht="15" customHeight="1" x14ac:dyDescent="0.25">
      <c r="A198" s="1"/>
      <c r="B198" s="1"/>
      <c r="C198" s="1"/>
      <c r="D198" s="1"/>
      <c r="E198" s="288"/>
      <c r="F198" s="331"/>
      <c r="G198" s="331"/>
      <c r="H198" s="331"/>
      <c r="I198" s="331"/>
      <c r="J198" s="287"/>
      <c r="K198" s="1"/>
      <c r="T198" s="152"/>
      <c r="AC198" s="152"/>
      <c r="AH198" s="152"/>
      <c r="AJ198" s="152"/>
    </row>
    <row r="199" spans="1:36" s="1" customForma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N199" s="4"/>
      <c r="O199" s="4"/>
      <c r="P199" s="4"/>
    </row>
  </sheetData>
  <sheetProtection sheet="1" objects="1" scenarios="1"/>
  <mergeCells count="23">
    <mergeCell ref="A113:C113"/>
    <mergeCell ref="F128:I128"/>
    <mergeCell ref="J128:K128"/>
    <mergeCell ref="A130:C130"/>
    <mergeCell ref="A75:C75"/>
    <mergeCell ref="F87:I87"/>
    <mergeCell ref="J87:K87"/>
    <mergeCell ref="A89:C89"/>
    <mergeCell ref="F111:I111"/>
    <mergeCell ref="J111:K111"/>
    <mergeCell ref="A28:C28"/>
    <mergeCell ref="F57:I57"/>
    <mergeCell ref="J57:K57"/>
    <mergeCell ref="A59:C59"/>
    <mergeCell ref="F73:I73"/>
    <mergeCell ref="J73:K73"/>
    <mergeCell ref="F26:I26"/>
    <mergeCell ref="J26:K26"/>
    <mergeCell ref="C9:D9"/>
    <mergeCell ref="E9:G9"/>
    <mergeCell ref="H9:K9"/>
    <mergeCell ref="E20:I20"/>
    <mergeCell ref="J20:K20"/>
  </mergeCells>
  <pageMargins left="0.7" right="0.7" top="0.75" bottom="0.75" header="0.3" footer="0.3"/>
  <pageSetup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2EB0D-0FBE-4966-8876-5F0BA733DE10}">
  <sheetPr>
    <pageSetUpPr fitToPage="1"/>
  </sheetPr>
  <dimension ref="A1:T200"/>
  <sheetViews>
    <sheetView zoomScaleNormal="100" workbookViewId="0">
      <pane ySplit="19" topLeftCell="A41" activePane="bottomLeft" state="frozen"/>
      <selection activeCell="A20" sqref="A20:XFD20"/>
      <selection pane="bottomLeft" activeCell="E11" sqref="E11"/>
    </sheetView>
  </sheetViews>
  <sheetFormatPr defaultRowHeight="15" x14ac:dyDescent="0.25"/>
  <cols>
    <col min="1" max="1" width="14.140625" style="4" customWidth="1"/>
    <col min="2" max="2" width="46.28515625" style="4" customWidth="1"/>
    <col min="3" max="3" width="8.5703125" style="4" customWidth="1"/>
    <col min="4" max="4" width="11" style="4" customWidth="1"/>
    <col min="5" max="5" width="11.5703125" style="4" customWidth="1"/>
    <col min="6" max="7" width="11" style="4" customWidth="1"/>
    <col min="8" max="9" width="12.42578125" style="4" customWidth="1"/>
    <col min="10" max="10" width="10.7109375" style="4" customWidth="1"/>
    <col min="11" max="11" width="12.85546875" style="4" customWidth="1"/>
    <col min="12" max="12" width="12" style="4" customWidth="1"/>
    <col min="13" max="14" width="9.140625" style="4"/>
    <col min="15" max="15" width="22.42578125" style="4" customWidth="1"/>
    <col min="16" max="19" width="9.140625" style="4"/>
    <col min="20" max="20" width="16.140625" style="4" customWidth="1"/>
    <col min="21" max="16384" width="9.140625" style="4"/>
  </cols>
  <sheetData>
    <row r="1" spans="1:17" s="5" customFormat="1" ht="15.75" x14ac:dyDescent="0.25">
      <c r="A1" s="2" t="s">
        <v>354</v>
      </c>
      <c r="B1" s="3"/>
      <c r="C1" s="4"/>
      <c r="D1" s="4"/>
      <c r="E1" s="387"/>
      <c r="F1" s="387"/>
      <c r="G1" s="387"/>
      <c r="H1" s="388"/>
      <c r="I1" s="389"/>
    </row>
    <row r="2" spans="1:17" s="6" customFormat="1" ht="15.75" x14ac:dyDescent="0.25">
      <c r="A2" s="2" t="s">
        <v>43</v>
      </c>
      <c r="D2" s="7"/>
      <c r="E2" s="390"/>
      <c r="F2" s="11"/>
      <c r="G2" s="390"/>
      <c r="H2" s="391"/>
      <c r="I2" s="391"/>
    </row>
    <row r="3" spans="1:17" s="1" customFormat="1" ht="12.75" x14ac:dyDescent="0.2">
      <c r="A3" s="284" t="s">
        <v>44</v>
      </c>
      <c r="D3" s="13"/>
      <c r="E3" s="392"/>
      <c r="F3" s="11"/>
      <c r="G3" s="392"/>
      <c r="H3" s="393"/>
      <c r="I3" s="393"/>
      <c r="J3" s="13"/>
      <c r="K3" s="13"/>
    </row>
    <row r="4" spans="1:17" s="1" customFormat="1" ht="12.75" x14ac:dyDescent="0.2">
      <c r="A4" s="284" t="s">
        <v>24</v>
      </c>
      <c r="D4" s="13"/>
      <c r="E4" s="392"/>
      <c r="F4" s="11"/>
      <c r="G4" s="392"/>
      <c r="H4" s="393"/>
      <c r="I4" s="393"/>
      <c r="J4" s="13"/>
      <c r="K4" s="13"/>
    </row>
    <row r="5" spans="1:17" s="1" customFormat="1" ht="15.75" x14ac:dyDescent="0.25">
      <c r="A5" s="394"/>
      <c r="D5" s="13"/>
      <c r="E5" s="392"/>
      <c r="F5" s="11"/>
      <c r="G5" s="392"/>
      <c r="H5" s="393"/>
      <c r="I5" s="393"/>
    </row>
    <row r="6" spans="1:17" s="1" customFormat="1" ht="24.75" customHeight="1" x14ac:dyDescent="0.25">
      <c r="A6" s="14" t="s">
        <v>4</v>
      </c>
      <c r="B6" s="395"/>
      <c r="C6" s="396" t="s">
        <v>57</v>
      </c>
      <c r="D6" s="397"/>
      <c r="E6" s="398" t="s">
        <v>45</v>
      </c>
      <c r="F6" s="399"/>
      <c r="G6" s="400"/>
      <c r="H6" s="401" t="s">
        <v>675</v>
      </c>
      <c r="I6" s="402"/>
      <c r="J6" s="403" t="s">
        <v>47</v>
      </c>
      <c r="K6" s="404"/>
      <c r="L6" s="404"/>
    </row>
    <row r="7" spans="1:17" s="1" customFormat="1" ht="26.25" customHeight="1" x14ac:dyDescent="0.25">
      <c r="B7" s="405" t="s">
        <v>6</v>
      </c>
      <c r="C7" s="406"/>
      <c r="D7" s="407"/>
      <c r="E7" s="33" t="s">
        <v>48</v>
      </c>
      <c r="F7" s="33" t="s">
        <v>49</v>
      </c>
      <c r="G7" s="33" t="s">
        <v>50</v>
      </c>
      <c r="H7" s="408" t="s">
        <v>48</v>
      </c>
      <c r="I7" s="408" t="s">
        <v>51</v>
      </c>
      <c r="J7" s="342" t="s">
        <v>52</v>
      </c>
      <c r="K7" s="255" t="s">
        <v>53</v>
      </c>
      <c r="L7" s="255" t="s">
        <v>1</v>
      </c>
      <c r="O7" s="4"/>
      <c r="P7" s="4"/>
      <c r="Q7" s="4"/>
    </row>
    <row r="8" spans="1:17" s="1" customFormat="1" x14ac:dyDescent="0.25">
      <c r="A8" s="331"/>
      <c r="B8" s="34" t="s">
        <v>290</v>
      </c>
      <c r="C8" s="409">
        <f>G46</f>
        <v>174305</v>
      </c>
      <c r="D8" s="410"/>
      <c r="E8" s="411">
        <f>E47</f>
        <v>7720.7222222222226</v>
      </c>
      <c r="F8" s="411">
        <f>F47</f>
        <v>1962.8888888888889</v>
      </c>
      <c r="G8" s="411">
        <f>G47</f>
        <v>9683.6111111111113</v>
      </c>
      <c r="H8" s="412">
        <f>H47</f>
        <v>15.69822018775432</v>
      </c>
      <c r="I8" s="412">
        <f>+I47</f>
        <v>18.93493053497702</v>
      </c>
      <c r="J8" s="41">
        <f>J49</f>
        <v>0.75</v>
      </c>
      <c r="K8" s="41">
        <f>K49</f>
        <v>0.2</v>
      </c>
      <c r="L8" s="41">
        <f>L49</f>
        <v>0.05</v>
      </c>
    </row>
    <row r="9" spans="1:17" s="1" customFormat="1" x14ac:dyDescent="0.25">
      <c r="A9" s="331"/>
      <c r="B9" s="34" t="s">
        <v>668</v>
      </c>
      <c r="C9" s="409">
        <f>G62</f>
        <v>17583</v>
      </c>
      <c r="D9" s="410"/>
      <c r="E9" s="411">
        <f>E63</f>
        <v>2297.1666666666665</v>
      </c>
      <c r="F9" s="411">
        <f>F63</f>
        <v>633.33333333333337</v>
      </c>
      <c r="G9" s="411">
        <f>G63</f>
        <v>2930.5</v>
      </c>
      <c r="H9" s="412">
        <f>H63</f>
        <v>18.124936371103495</v>
      </c>
      <c r="I9" s="412">
        <f>I63</f>
        <v>23.902806299916815</v>
      </c>
      <c r="J9" s="41">
        <f>J65</f>
        <v>0.5</v>
      </c>
      <c r="K9" s="41">
        <f>K65</f>
        <v>0.33333333333333331</v>
      </c>
      <c r="L9" s="41">
        <f>L65</f>
        <v>0.16666666666666666</v>
      </c>
    </row>
    <row r="10" spans="1:17" s="1" customFormat="1" x14ac:dyDescent="0.25">
      <c r="A10" s="331"/>
      <c r="B10" s="34" t="s">
        <v>669</v>
      </c>
      <c r="C10" s="409">
        <f>G76</f>
        <v>15838</v>
      </c>
      <c r="D10" s="410"/>
      <c r="E10" s="411">
        <f>E77</f>
        <v>3259.5</v>
      </c>
      <c r="F10" s="411">
        <f>F77</f>
        <v>50</v>
      </c>
      <c r="G10" s="411">
        <f>G77</f>
        <v>3959.5</v>
      </c>
      <c r="H10" s="412">
        <f>H77</f>
        <v>22.486836785434672</v>
      </c>
      <c r="I10" s="412">
        <f>I77</f>
        <v>26.629962962459153</v>
      </c>
      <c r="J10" s="41">
        <f>J79</f>
        <v>0</v>
      </c>
      <c r="K10" s="41">
        <f>K79</f>
        <v>0.75</v>
      </c>
      <c r="L10" s="41">
        <f>L79</f>
        <v>0</v>
      </c>
    </row>
    <row r="11" spans="1:17" s="1" customFormat="1" x14ac:dyDescent="0.25">
      <c r="A11" s="331"/>
      <c r="B11" s="34" t="s">
        <v>673</v>
      </c>
      <c r="C11" s="409">
        <f>G100</f>
        <v>93249</v>
      </c>
      <c r="D11" s="410"/>
      <c r="E11" s="411">
        <f>E101</f>
        <v>5723</v>
      </c>
      <c r="F11" s="411">
        <f>F101</f>
        <v>1450</v>
      </c>
      <c r="G11" s="411">
        <f>G101</f>
        <v>7173</v>
      </c>
      <c r="H11" s="412">
        <f>H101</f>
        <v>12.707657188376011</v>
      </c>
      <c r="I11" s="412">
        <f>I101</f>
        <v>15.729559070681919</v>
      </c>
      <c r="J11" s="41">
        <f>J103</f>
        <v>0.61538461538461542</v>
      </c>
      <c r="K11" s="41">
        <f>K103</f>
        <v>0.38461538461538464</v>
      </c>
      <c r="L11" s="41">
        <f>L103</f>
        <v>0</v>
      </c>
    </row>
    <row r="12" spans="1:17" s="1" customFormat="1" x14ac:dyDescent="0.25">
      <c r="A12" s="331"/>
      <c r="B12" s="34" t="s">
        <v>671</v>
      </c>
      <c r="C12" s="409">
        <f>G117</f>
        <v>31250</v>
      </c>
      <c r="D12" s="410"/>
      <c r="E12" s="411">
        <f>E118</f>
        <v>5960</v>
      </c>
      <c r="F12" s="411">
        <f>F118</f>
        <v>290</v>
      </c>
      <c r="G12" s="411">
        <f>G118</f>
        <v>6250</v>
      </c>
      <c r="H12" s="412">
        <f>H118</f>
        <v>14.578641927068418</v>
      </c>
      <c r="I12" s="412">
        <f>I118</f>
        <v>15.149883165129534</v>
      </c>
      <c r="J12" s="41">
        <f>J120</f>
        <v>0.4</v>
      </c>
      <c r="K12" s="41">
        <f>K120</f>
        <v>0.4</v>
      </c>
      <c r="L12" s="41">
        <f>L120</f>
        <v>0.2</v>
      </c>
    </row>
    <row r="13" spans="1:17" s="1" customFormat="1" x14ac:dyDescent="0.25">
      <c r="A13" s="331"/>
      <c r="B13" s="34" t="s">
        <v>672</v>
      </c>
      <c r="C13" s="409">
        <f>G189</f>
        <v>190694</v>
      </c>
      <c r="D13" s="410"/>
      <c r="E13" s="411">
        <f>E190</f>
        <v>3177.3818181818183</v>
      </c>
      <c r="F13" s="411">
        <f>F190</f>
        <v>517.0545454545454</v>
      </c>
      <c r="G13" s="411">
        <f>G190</f>
        <v>3467.1636363636362</v>
      </c>
      <c r="H13" s="412">
        <f>H190</f>
        <v>12.805357736690162</v>
      </c>
      <c r="I13" s="412">
        <f>I190</f>
        <v>13.708666423794584</v>
      </c>
      <c r="J13" s="41">
        <f>J192</f>
        <v>0.4107142857142857</v>
      </c>
      <c r="K13" s="41">
        <f>K192</f>
        <v>0.39285714285714285</v>
      </c>
      <c r="L13" s="41">
        <f>L192</f>
        <v>0.19642857142857142</v>
      </c>
    </row>
    <row r="14" spans="1:17" s="1" customFormat="1" x14ac:dyDescent="0.25">
      <c r="A14" s="331"/>
      <c r="B14" s="43" t="s">
        <v>674</v>
      </c>
      <c r="C14" s="413">
        <f>SUM(C8:D13)</f>
        <v>522919</v>
      </c>
      <c r="D14" s="414"/>
      <c r="E14" s="415">
        <v>4435.08</v>
      </c>
      <c r="F14" s="415">
        <v>889.59</v>
      </c>
      <c r="G14" s="415">
        <v>5229.1899999999996</v>
      </c>
      <c r="H14" s="416">
        <v>12.18</v>
      </c>
      <c r="I14" s="416">
        <v>14.32</v>
      </c>
      <c r="J14" s="311">
        <v>0.49</v>
      </c>
      <c r="K14" s="311">
        <v>0.36499999999999999</v>
      </c>
      <c r="L14" s="311">
        <v>0.1346</v>
      </c>
    </row>
    <row r="15" spans="1:17" s="1" customFormat="1" ht="12.75" x14ac:dyDescent="0.2">
      <c r="A15" s="331"/>
      <c r="B15" s="87"/>
      <c r="C15" s="88"/>
      <c r="D15" s="88"/>
      <c r="E15" s="417"/>
      <c r="F15" s="417"/>
      <c r="G15" s="417"/>
      <c r="H15" s="418"/>
      <c r="I15" s="419"/>
      <c r="J15" s="331"/>
      <c r="K15" s="331"/>
      <c r="L15" s="331"/>
    </row>
    <row r="16" spans="1:17" s="1" customFormat="1" ht="12.75" x14ac:dyDescent="0.2">
      <c r="A16" s="420" t="s">
        <v>10</v>
      </c>
      <c r="B16" s="87"/>
      <c r="C16" s="88"/>
      <c r="D16" s="88"/>
      <c r="E16" s="417"/>
      <c r="F16" s="417"/>
      <c r="G16" s="417"/>
      <c r="H16" s="418"/>
      <c r="I16" s="418"/>
      <c r="J16" s="331"/>
      <c r="K16" s="331"/>
      <c r="L16" s="331"/>
    </row>
    <row r="17" spans="1:12" s="74" customFormat="1" ht="12.75" customHeight="1" x14ac:dyDescent="0.25">
      <c r="A17" s="421"/>
      <c r="B17" s="422"/>
      <c r="C17" s="422"/>
      <c r="D17" s="423"/>
      <c r="E17" s="424" t="s">
        <v>43</v>
      </c>
      <c r="F17" s="425"/>
      <c r="G17" s="426"/>
      <c r="H17" s="427" t="s">
        <v>46</v>
      </c>
      <c r="I17" s="428"/>
      <c r="J17" s="429" t="s">
        <v>47</v>
      </c>
      <c r="K17" s="430"/>
      <c r="L17" s="430"/>
    </row>
    <row r="18" spans="1:12" s="74" customFormat="1" ht="25.5" x14ac:dyDescent="0.2">
      <c r="A18" s="241" t="s">
        <v>11</v>
      </c>
      <c r="B18" s="241" t="s">
        <v>12</v>
      </c>
      <c r="C18" s="241" t="s">
        <v>2</v>
      </c>
      <c r="D18" s="243" t="s">
        <v>5</v>
      </c>
      <c r="E18" s="431" t="s">
        <v>54</v>
      </c>
      <c r="F18" s="431" t="s">
        <v>49</v>
      </c>
      <c r="G18" s="431" t="s">
        <v>55</v>
      </c>
      <c r="H18" s="432" t="s">
        <v>48</v>
      </c>
      <c r="I18" s="432" t="s">
        <v>51</v>
      </c>
      <c r="J18" s="433" t="s">
        <v>52</v>
      </c>
      <c r="K18" s="434" t="s">
        <v>53</v>
      </c>
      <c r="L18" s="434" t="s">
        <v>1</v>
      </c>
    </row>
    <row r="19" spans="1:12" s="74" customFormat="1" x14ac:dyDescent="0.25">
      <c r="A19" s="435" t="s">
        <v>56</v>
      </c>
      <c r="B19" s="319"/>
      <c r="C19" s="320"/>
      <c r="D19" s="436">
        <v>114</v>
      </c>
      <c r="E19" s="436">
        <f t="shared" ref="E19:L19" si="0">+E24+E55+E71+E85+E109+E126</f>
        <v>100</v>
      </c>
      <c r="F19" s="436">
        <f t="shared" si="0"/>
        <v>99</v>
      </c>
      <c r="G19" s="436">
        <f t="shared" si="0"/>
        <v>100</v>
      </c>
      <c r="H19" s="436">
        <f t="shared" si="0"/>
        <v>100</v>
      </c>
      <c r="I19" s="437">
        <f t="shared" si="0"/>
        <v>101</v>
      </c>
      <c r="J19" s="436">
        <f t="shared" si="0"/>
        <v>104</v>
      </c>
      <c r="K19" s="436">
        <f t="shared" si="0"/>
        <v>104</v>
      </c>
      <c r="L19" s="436">
        <f t="shared" si="0"/>
        <v>104</v>
      </c>
    </row>
    <row r="20" spans="1:12" s="1" customFormat="1" ht="12.75" x14ac:dyDescent="0.2">
      <c r="A20" s="331"/>
      <c r="B20" s="331"/>
      <c r="C20" s="331"/>
      <c r="D20" s="438"/>
      <c r="E20" s="417"/>
      <c r="F20" s="11"/>
      <c r="G20" s="417"/>
      <c r="H20" s="418"/>
      <c r="I20" s="418"/>
      <c r="J20" s="331"/>
      <c r="K20" s="331"/>
      <c r="L20" s="331"/>
    </row>
    <row r="21" spans="1:12" s="161" customFormat="1" ht="15" customHeight="1" x14ac:dyDescent="0.2">
      <c r="A21" s="439" t="s">
        <v>290</v>
      </c>
      <c r="B21" s="440"/>
      <c r="C21" s="440"/>
      <c r="D21" s="441"/>
      <c r="E21" s="442"/>
      <c r="F21" s="443"/>
      <c r="G21" s="444"/>
      <c r="H21" s="445"/>
      <c r="I21" s="445"/>
      <c r="J21" s="446"/>
      <c r="K21" s="446"/>
      <c r="L21" s="447"/>
    </row>
    <row r="22" spans="1:12" s="74" customFormat="1" ht="12.75" customHeight="1" x14ac:dyDescent="0.25">
      <c r="A22" s="448"/>
      <c r="B22" s="449"/>
      <c r="C22" s="449"/>
      <c r="D22" s="450"/>
      <c r="E22" s="413" t="s">
        <v>43</v>
      </c>
      <c r="F22" s="399"/>
      <c r="G22" s="400"/>
      <c r="H22" s="451" t="s">
        <v>46</v>
      </c>
      <c r="I22" s="452"/>
      <c r="J22" s="453" t="s">
        <v>47</v>
      </c>
      <c r="K22" s="454"/>
      <c r="L22" s="454"/>
    </row>
    <row r="23" spans="1:12" s="74" customFormat="1" ht="25.5" x14ac:dyDescent="0.2">
      <c r="A23" s="455" t="s">
        <v>11</v>
      </c>
      <c r="B23" s="455" t="s">
        <v>12</v>
      </c>
      <c r="C23" s="455" t="s">
        <v>2</v>
      </c>
      <c r="D23" s="456" t="s">
        <v>5</v>
      </c>
      <c r="E23" s="457" t="s">
        <v>54</v>
      </c>
      <c r="F23" s="457" t="s">
        <v>49</v>
      </c>
      <c r="G23" s="457" t="s">
        <v>55</v>
      </c>
      <c r="H23" s="458" t="s">
        <v>48</v>
      </c>
      <c r="I23" s="458" t="s">
        <v>51</v>
      </c>
      <c r="J23" s="459" t="s">
        <v>52</v>
      </c>
      <c r="K23" s="460" t="s">
        <v>53</v>
      </c>
      <c r="L23" s="460" t="s">
        <v>1</v>
      </c>
    </row>
    <row r="24" spans="1:12" s="74" customFormat="1" x14ac:dyDescent="0.25">
      <c r="A24" s="461" t="s">
        <v>56</v>
      </c>
      <c r="B24" s="462"/>
      <c r="C24" s="293"/>
      <c r="D24" s="463">
        <v>21</v>
      </c>
      <c r="E24" s="463">
        <v>17</v>
      </c>
      <c r="F24" s="463">
        <v>16</v>
      </c>
      <c r="G24" s="463">
        <v>17</v>
      </c>
      <c r="H24" s="463">
        <v>17</v>
      </c>
      <c r="I24" s="463">
        <v>18</v>
      </c>
      <c r="J24" s="463">
        <v>20</v>
      </c>
      <c r="K24" s="463">
        <v>20</v>
      </c>
      <c r="L24" s="463">
        <v>20</v>
      </c>
    </row>
    <row r="25" spans="1:12" x14ac:dyDescent="0.25">
      <c r="A25" s="170" t="s">
        <v>361</v>
      </c>
      <c r="B25" s="170" t="s">
        <v>253</v>
      </c>
      <c r="C25" s="464" t="s">
        <v>209</v>
      </c>
      <c r="D25" s="115">
        <v>1092</v>
      </c>
      <c r="E25" s="465">
        <v>13999</v>
      </c>
      <c r="F25" s="466">
        <v>0</v>
      </c>
      <c r="G25" s="466">
        <v>13999</v>
      </c>
      <c r="H25" s="467">
        <f>+E25/D25</f>
        <v>12.819597069597069</v>
      </c>
      <c r="I25" s="467">
        <f t="shared" ref="I25:I34" si="1">+G25/D25</f>
        <v>12.819597069597069</v>
      </c>
      <c r="J25" s="468" t="s">
        <v>224</v>
      </c>
      <c r="K25" s="468" t="s">
        <v>227</v>
      </c>
      <c r="L25" s="276"/>
    </row>
    <row r="26" spans="1:12" x14ac:dyDescent="0.25">
      <c r="A26" s="170" t="s">
        <v>163</v>
      </c>
      <c r="B26" s="170" t="s">
        <v>162</v>
      </c>
      <c r="C26" s="464" t="s">
        <v>209</v>
      </c>
      <c r="D26" s="115">
        <v>220</v>
      </c>
      <c r="E26" s="465">
        <v>5500</v>
      </c>
      <c r="F26" s="466">
        <v>0</v>
      </c>
      <c r="G26" s="466">
        <v>5500</v>
      </c>
      <c r="H26" s="467">
        <f t="shared" ref="H26:H34" si="2">+E26/D26</f>
        <v>25</v>
      </c>
      <c r="I26" s="467">
        <f t="shared" si="1"/>
        <v>25</v>
      </c>
      <c r="J26" s="175" t="s">
        <v>224</v>
      </c>
      <c r="K26" s="468" t="s">
        <v>227</v>
      </c>
      <c r="L26" s="276"/>
    </row>
    <row r="27" spans="1:12" x14ac:dyDescent="0.25">
      <c r="A27" s="170" t="s">
        <v>156</v>
      </c>
      <c r="B27" s="170" t="s">
        <v>236</v>
      </c>
      <c r="C27" s="464" t="s">
        <v>209</v>
      </c>
      <c r="D27" s="115">
        <v>153</v>
      </c>
      <c r="E27" s="465">
        <v>7700</v>
      </c>
      <c r="F27" s="466">
        <v>1200</v>
      </c>
      <c r="G27" s="466">
        <v>8900</v>
      </c>
      <c r="H27" s="467">
        <f t="shared" si="2"/>
        <v>50.326797385620914</v>
      </c>
      <c r="I27" s="467">
        <f t="shared" si="1"/>
        <v>58.169934640522875</v>
      </c>
      <c r="J27" s="175" t="s">
        <v>224</v>
      </c>
      <c r="K27" s="468" t="s">
        <v>227</v>
      </c>
      <c r="L27" s="276"/>
    </row>
    <row r="28" spans="1:12" x14ac:dyDescent="0.25">
      <c r="A28" s="170" t="s">
        <v>362</v>
      </c>
      <c r="B28" s="170" t="s">
        <v>145</v>
      </c>
      <c r="C28" s="464" t="s">
        <v>209</v>
      </c>
      <c r="D28" s="115">
        <v>1152</v>
      </c>
      <c r="E28" s="465">
        <v>14000</v>
      </c>
      <c r="F28" s="466">
        <v>2100</v>
      </c>
      <c r="G28" s="466">
        <v>16100</v>
      </c>
      <c r="H28" s="469">
        <f t="shared" si="2"/>
        <v>12.152777777777779</v>
      </c>
      <c r="I28" s="469">
        <f t="shared" si="1"/>
        <v>13.975694444444445</v>
      </c>
      <c r="J28" s="175" t="s">
        <v>224</v>
      </c>
      <c r="K28" s="468" t="s">
        <v>227</v>
      </c>
      <c r="L28" s="276"/>
    </row>
    <row r="29" spans="1:12" x14ac:dyDescent="0.25">
      <c r="A29" s="170" t="s">
        <v>362</v>
      </c>
      <c r="B29" s="170" t="s">
        <v>176</v>
      </c>
      <c r="C29" s="464" t="s">
        <v>209</v>
      </c>
      <c r="D29" s="115">
        <v>147</v>
      </c>
      <c r="E29" s="465">
        <v>2500</v>
      </c>
      <c r="F29" s="466">
        <v>0</v>
      </c>
      <c r="G29" s="466">
        <v>2500</v>
      </c>
      <c r="H29" s="469">
        <f t="shared" si="2"/>
        <v>17.006802721088434</v>
      </c>
      <c r="I29" s="469">
        <f t="shared" si="1"/>
        <v>17.006802721088434</v>
      </c>
      <c r="J29" s="468" t="s">
        <v>227</v>
      </c>
      <c r="K29" s="175" t="s">
        <v>224</v>
      </c>
      <c r="L29" s="276"/>
    </row>
    <row r="30" spans="1:12" x14ac:dyDescent="0.25">
      <c r="A30" s="170" t="s">
        <v>363</v>
      </c>
      <c r="B30" s="170" t="s">
        <v>355</v>
      </c>
      <c r="C30" s="464" t="s">
        <v>209</v>
      </c>
      <c r="D30" s="115">
        <v>422</v>
      </c>
      <c r="E30" s="470" t="s">
        <v>233</v>
      </c>
      <c r="F30" s="470" t="s">
        <v>233</v>
      </c>
      <c r="G30" s="470" t="s">
        <v>233</v>
      </c>
      <c r="H30" s="471" t="s">
        <v>233</v>
      </c>
      <c r="I30" s="471" t="s">
        <v>233</v>
      </c>
      <c r="J30" s="175" t="s">
        <v>224</v>
      </c>
      <c r="K30" s="468" t="s">
        <v>227</v>
      </c>
      <c r="L30" s="276"/>
    </row>
    <row r="31" spans="1:12" x14ac:dyDescent="0.25">
      <c r="A31" s="170" t="s">
        <v>148</v>
      </c>
      <c r="B31" s="170" t="s">
        <v>152</v>
      </c>
      <c r="C31" s="464" t="s">
        <v>209</v>
      </c>
      <c r="D31" s="115">
        <v>1557</v>
      </c>
      <c r="E31" s="465">
        <v>13073</v>
      </c>
      <c r="F31" s="466">
        <v>440</v>
      </c>
      <c r="G31" s="466">
        <v>13513</v>
      </c>
      <c r="H31" s="469">
        <f t="shared" si="2"/>
        <v>8.3962748876043669</v>
      </c>
      <c r="I31" s="469">
        <f t="shared" si="1"/>
        <v>8.678869621066152</v>
      </c>
      <c r="J31" s="468" t="s">
        <v>227</v>
      </c>
      <c r="K31" s="175" t="s">
        <v>224</v>
      </c>
      <c r="L31" s="276"/>
    </row>
    <row r="32" spans="1:12" x14ac:dyDescent="0.25">
      <c r="A32" s="170" t="s">
        <v>148</v>
      </c>
      <c r="B32" s="170" t="s">
        <v>170</v>
      </c>
      <c r="C32" s="464" t="s">
        <v>209</v>
      </c>
      <c r="D32" s="115">
        <v>1228</v>
      </c>
      <c r="E32" s="465">
        <v>8210</v>
      </c>
      <c r="F32" s="466">
        <v>3152</v>
      </c>
      <c r="G32" s="466">
        <v>11362</v>
      </c>
      <c r="H32" s="469">
        <f t="shared" si="2"/>
        <v>6.6856677524429964</v>
      </c>
      <c r="I32" s="469">
        <f t="shared" si="1"/>
        <v>9.2524429967426709</v>
      </c>
      <c r="J32" s="175" t="s">
        <v>224</v>
      </c>
      <c r="K32" s="468" t="s">
        <v>227</v>
      </c>
      <c r="L32" s="276"/>
    </row>
    <row r="33" spans="1:12" x14ac:dyDescent="0.25">
      <c r="A33" s="170" t="s">
        <v>148</v>
      </c>
      <c r="B33" s="170" t="s">
        <v>291</v>
      </c>
      <c r="C33" s="464" t="s">
        <v>209</v>
      </c>
      <c r="D33" s="115">
        <v>175</v>
      </c>
      <c r="E33" s="465">
        <v>5000</v>
      </c>
      <c r="F33" s="466">
        <v>1000</v>
      </c>
      <c r="G33" s="466">
        <v>6000</v>
      </c>
      <c r="H33" s="469">
        <f t="shared" si="2"/>
        <v>28.571428571428573</v>
      </c>
      <c r="I33" s="469">
        <f t="shared" si="1"/>
        <v>34.285714285714285</v>
      </c>
      <c r="J33" s="175" t="s">
        <v>224</v>
      </c>
      <c r="K33" s="468" t="s">
        <v>227</v>
      </c>
      <c r="L33" s="276" t="s">
        <v>227</v>
      </c>
    </row>
    <row r="34" spans="1:12" x14ac:dyDescent="0.25">
      <c r="A34" s="170" t="s">
        <v>178</v>
      </c>
      <c r="B34" s="170" t="s">
        <v>206</v>
      </c>
      <c r="C34" s="464" t="s">
        <v>209</v>
      </c>
      <c r="D34" s="115">
        <v>862</v>
      </c>
      <c r="E34" s="465">
        <v>3000</v>
      </c>
      <c r="F34" s="466">
        <v>1500</v>
      </c>
      <c r="G34" s="466">
        <v>4500</v>
      </c>
      <c r="H34" s="469">
        <f t="shared" si="2"/>
        <v>3.4802784222737819</v>
      </c>
      <c r="I34" s="469">
        <f t="shared" si="1"/>
        <v>5.2204176334106727</v>
      </c>
      <c r="J34" s="175" t="s">
        <v>224</v>
      </c>
      <c r="K34" s="468" t="s">
        <v>227</v>
      </c>
      <c r="L34" s="276"/>
    </row>
    <row r="35" spans="1:12" x14ac:dyDescent="0.25">
      <c r="A35" s="170" t="s">
        <v>364</v>
      </c>
      <c r="B35" s="170" t="s">
        <v>356</v>
      </c>
      <c r="C35" s="464" t="s">
        <v>209</v>
      </c>
      <c r="D35" s="115">
        <v>2017</v>
      </c>
      <c r="E35" s="465">
        <v>29000</v>
      </c>
      <c r="F35" s="466">
        <v>9000</v>
      </c>
      <c r="G35" s="466">
        <v>38000</v>
      </c>
      <c r="H35" s="469">
        <f>+E35/D35</f>
        <v>14.377788795240455</v>
      </c>
      <c r="I35" s="469">
        <f>+G35/D35</f>
        <v>18.839861179970253</v>
      </c>
      <c r="J35" s="175" t="s">
        <v>224</v>
      </c>
      <c r="K35" s="468" t="s">
        <v>227</v>
      </c>
      <c r="L35" s="276"/>
    </row>
    <row r="36" spans="1:12" x14ac:dyDescent="0.25">
      <c r="A36" s="170" t="s">
        <v>364</v>
      </c>
      <c r="B36" s="170" t="s">
        <v>237</v>
      </c>
      <c r="C36" s="464" t="s">
        <v>209</v>
      </c>
      <c r="D36" s="115">
        <v>235</v>
      </c>
      <c r="E36" s="470" t="s">
        <v>233</v>
      </c>
      <c r="F36" s="470" t="s">
        <v>233</v>
      </c>
      <c r="G36" s="470" t="s">
        <v>233</v>
      </c>
      <c r="H36" s="471" t="s">
        <v>233</v>
      </c>
      <c r="I36" s="471" t="s">
        <v>233</v>
      </c>
      <c r="J36" s="468" t="s">
        <v>227</v>
      </c>
      <c r="K36" s="468" t="s">
        <v>227</v>
      </c>
      <c r="L36" s="276" t="s">
        <v>224</v>
      </c>
    </row>
    <row r="37" spans="1:12" x14ac:dyDescent="0.25">
      <c r="A37" s="170" t="s">
        <v>149</v>
      </c>
      <c r="B37" s="170" t="s">
        <v>238</v>
      </c>
      <c r="C37" s="464" t="s">
        <v>209</v>
      </c>
      <c r="D37" s="115">
        <v>612</v>
      </c>
      <c r="E37" s="472">
        <v>6500</v>
      </c>
      <c r="F37" s="466">
        <v>2000</v>
      </c>
      <c r="G37" s="466">
        <v>8500</v>
      </c>
      <c r="H37" s="469">
        <f t="shared" ref="H37:H42" si="3">+E37/D37</f>
        <v>10.620915032679738</v>
      </c>
      <c r="I37" s="469">
        <f t="shared" ref="I37:I42" si="4">+G37/D37</f>
        <v>13.888888888888889</v>
      </c>
      <c r="J37" s="175" t="s">
        <v>224</v>
      </c>
      <c r="K37" s="468" t="s">
        <v>227</v>
      </c>
      <c r="L37" s="276"/>
    </row>
    <row r="38" spans="1:12" x14ac:dyDescent="0.25">
      <c r="A38" s="170" t="s">
        <v>181</v>
      </c>
      <c r="B38" s="170" t="s">
        <v>208</v>
      </c>
      <c r="C38" s="464" t="s">
        <v>209</v>
      </c>
      <c r="D38" s="115">
        <v>274</v>
      </c>
      <c r="E38" s="473">
        <v>1241</v>
      </c>
      <c r="F38" s="473">
        <v>0</v>
      </c>
      <c r="G38" s="466">
        <v>1241</v>
      </c>
      <c r="H38" s="469">
        <f>+E38/D38</f>
        <v>4.5291970802919712</v>
      </c>
      <c r="I38" s="469">
        <f t="shared" si="4"/>
        <v>4.5291970802919712</v>
      </c>
      <c r="J38" s="468" t="s">
        <v>227</v>
      </c>
      <c r="K38" s="175" t="s">
        <v>224</v>
      </c>
      <c r="L38" s="276"/>
    </row>
    <row r="39" spans="1:12" x14ac:dyDescent="0.25">
      <c r="A39" s="170" t="s">
        <v>143</v>
      </c>
      <c r="B39" s="170" t="s">
        <v>142</v>
      </c>
      <c r="C39" s="464" t="s">
        <v>209</v>
      </c>
      <c r="D39" s="115">
        <v>151</v>
      </c>
      <c r="E39" s="472">
        <v>1500</v>
      </c>
      <c r="F39" s="466">
        <v>1250</v>
      </c>
      <c r="G39" s="466">
        <v>2750</v>
      </c>
      <c r="H39" s="469">
        <f t="shared" si="3"/>
        <v>9.9337748344370862</v>
      </c>
      <c r="I39" s="469">
        <f t="shared" si="4"/>
        <v>18.211920529801326</v>
      </c>
      <c r="J39" s="175" t="s">
        <v>224</v>
      </c>
      <c r="K39" s="468" t="s">
        <v>227</v>
      </c>
      <c r="L39" s="276"/>
    </row>
    <row r="40" spans="1:12" x14ac:dyDescent="0.25">
      <c r="A40" s="170" t="s">
        <v>365</v>
      </c>
      <c r="B40" s="170" t="s">
        <v>158</v>
      </c>
      <c r="C40" s="171" t="s">
        <v>209</v>
      </c>
      <c r="D40" s="115">
        <v>794</v>
      </c>
      <c r="E40" s="472">
        <v>5000</v>
      </c>
      <c r="F40" s="466">
        <v>10000</v>
      </c>
      <c r="G40" s="466">
        <v>15000</v>
      </c>
      <c r="H40" s="474">
        <f t="shared" si="3"/>
        <v>6.2972292191435768</v>
      </c>
      <c r="I40" s="474">
        <f>+G40/D40</f>
        <v>18.89168765743073</v>
      </c>
      <c r="J40" s="468" t="s">
        <v>227</v>
      </c>
      <c r="K40" s="175" t="s">
        <v>224</v>
      </c>
      <c r="L40" s="274"/>
    </row>
    <row r="41" spans="1:12" x14ac:dyDescent="0.25">
      <c r="A41" s="170" t="s">
        <v>365</v>
      </c>
      <c r="B41" s="170" t="s">
        <v>357</v>
      </c>
      <c r="C41" s="171" t="s">
        <v>209</v>
      </c>
      <c r="D41" s="115">
        <v>46</v>
      </c>
      <c r="E41" s="470" t="s">
        <v>233</v>
      </c>
      <c r="F41" s="470" t="s">
        <v>233</v>
      </c>
      <c r="G41" s="470" t="s">
        <v>233</v>
      </c>
      <c r="H41" s="470" t="s">
        <v>233</v>
      </c>
      <c r="I41" s="470" t="s">
        <v>233</v>
      </c>
      <c r="J41" s="219" t="s">
        <v>233</v>
      </c>
      <c r="K41" s="475" t="s">
        <v>233</v>
      </c>
      <c r="L41" s="219" t="s">
        <v>233</v>
      </c>
    </row>
    <row r="42" spans="1:12" x14ac:dyDescent="0.25">
      <c r="A42" s="170" t="s">
        <v>153</v>
      </c>
      <c r="B42" s="170" t="s">
        <v>235</v>
      </c>
      <c r="C42" s="171" t="s">
        <v>209</v>
      </c>
      <c r="D42" s="115">
        <v>774</v>
      </c>
      <c r="E42" s="465">
        <v>3150</v>
      </c>
      <c r="F42" s="466">
        <v>1740</v>
      </c>
      <c r="G42" s="466">
        <v>4890</v>
      </c>
      <c r="H42" s="476">
        <f t="shared" si="3"/>
        <v>4.0697674418604652</v>
      </c>
      <c r="I42" s="476">
        <f t="shared" si="4"/>
        <v>6.3178294573643408</v>
      </c>
      <c r="J42" s="175" t="s">
        <v>224</v>
      </c>
      <c r="K42" s="468" t="s">
        <v>227</v>
      </c>
      <c r="L42" s="274"/>
    </row>
    <row r="43" spans="1:12" x14ac:dyDescent="0.25">
      <c r="A43" s="170" t="s">
        <v>198</v>
      </c>
      <c r="B43" s="170" t="s">
        <v>358</v>
      </c>
      <c r="C43" s="171" t="s">
        <v>209</v>
      </c>
      <c r="D43" s="115">
        <v>230</v>
      </c>
      <c r="E43" s="465">
        <v>7800</v>
      </c>
      <c r="F43" s="473">
        <v>0</v>
      </c>
      <c r="G43" s="473">
        <v>7800</v>
      </c>
      <c r="H43" s="474">
        <f>+E43/D43</f>
        <v>33.913043478260867</v>
      </c>
      <c r="I43" s="474">
        <f>+G43/D43</f>
        <v>33.913043478260867</v>
      </c>
      <c r="J43" s="175" t="s">
        <v>224</v>
      </c>
      <c r="K43" s="468" t="s">
        <v>227</v>
      </c>
      <c r="L43" s="274" t="s">
        <v>287</v>
      </c>
    </row>
    <row r="44" spans="1:12" x14ac:dyDescent="0.25">
      <c r="A44" s="170" t="s">
        <v>174</v>
      </c>
      <c r="B44" s="170" t="s">
        <v>359</v>
      </c>
      <c r="C44" s="171" t="s">
        <v>209</v>
      </c>
      <c r="D44" s="115">
        <v>405</v>
      </c>
      <c r="E44" s="465">
        <v>8800</v>
      </c>
      <c r="F44" s="466">
        <v>450</v>
      </c>
      <c r="G44" s="466">
        <v>9250</v>
      </c>
      <c r="H44" s="476">
        <f>+E44/D44</f>
        <v>21.728395061728396</v>
      </c>
      <c r="I44" s="476">
        <f>+G44/D44</f>
        <v>22.839506172839506</v>
      </c>
      <c r="J44" s="175" t="s">
        <v>224</v>
      </c>
      <c r="K44" s="468" t="s">
        <v>227</v>
      </c>
      <c r="L44" s="274"/>
    </row>
    <row r="45" spans="1:12" x14ac:dyDescent="0.25">
      <c r="A45" s="170" t="s">
        <v>366</v>
      </c>
      <c r="B45" s="170" t="s">
        <v>360</v>
      </c>
      <c r="C45" s="171" t="s">
        <v>209</v>
      </c>
      <c r="D45" s="115">
        <v>237</v>
      </c>
      <c r="E45" s="465">
        <v>3000</v>
      </c>
      <c r="F45" s="466">
        <v>1500</v>
      </c>
      <c r="G45" s="466">
        <v>4500</v>
      </c>
      <c r="H45" s="476">
        <f>+E45/D45</f>
        <v>12.658227848101266</v>
      </c>
      <c r="I45" s="476">
        <f>+G45/D45</f>
        <v>18.9873417721519</v>
      </c>
      <c r="J45" s="175" t="s">
        <v>224</v>
      </c>
      <c r="K45" s="468" t="s">
        <v>227</v>
      </c>
      <c r="L45" s="274"/>
    </row>
    <row r="46" spans="1:12" x14ac:dyDescent="0.25">
      <c r="A46" s="355"/>
      <c r="B46" s="356"/>
      <c r="C46" s="155" t="s">
        <v>7</v>
      </c>
      <c r="D46" s="262">
        <f>SUM(D25:D45)</f>
        <v>12783</v>
      </c>
      <c r="E46" s="477">
        <f>SUM(E25:E45)</f>
        <v>138973</v>
      </c>
      <c r="F46" s="477">
        <f>SUM(F25:F45)</f>
        <v>35332</v>
      </c>
      <c r="G46" s="477">
        <f>SUM(G25:G45)</f>
        <v>174305</v>
      </c>
      <c r="H46" s="478"/>
      <c r="I46" s="478"/>
      <c r="J46" s="342">
        <v>15</v>
      </c>
      <c r="K46" s="342">
        <v>4</v>
      </c>
      <c r="L46" s="342">
        <v>1</v>
      </c>
    </row>
    <row r="47" spans="1:12" x14ac:dyDescent="0.25">
      <c r="A47" s="358"/>
      <c r="B47" s="359"/>
      <c r="C47" s="360" t="s">
        <v>8</v>
      </c>
      <c r="D47" s="262">
        <f t="shared" ref="D47:I47" si="5">AVERAGE(D25:D45)</f>
        <v>608.71428571428567</v>
      </c>
      <c r="E47" s="477">
        <f t="shared" si="5"/>
        <v>7720.7222222222226</v>
      </c>
      <c r="F47" s="477">
        <f t="shared" si="5"/>
        <v>1962.8888888888889</v>
      </c>
      <c r="G47" s="477">
        <f t="shared" si="5"/>
        <v>9683.6111111111113</v>
      </c>
      <c r="H47" s="478">
        <f t="shared" si="5"/>
        <v>15.69822018775432</v>
      </c>
      <c r="I47" s="478">
        <f t="shared" si="5"/>
        <v>18.93493053497702</v>
      </c>
      <c r="J47" s="459"/>
      <c r="K47" s="459"/>
      <c r="L47" s="459"/>
    </row>
    <row r="48" spans="1:12" x14ac:dyDescent="0.25">
      <c r="A48" s="358"/>
      <c r="B48" s="359"/>
      <c r="C48" s="360" t="s">
        <v>9</v>
      </c>
      <c r="D48" s="262">
        <f t="shared" ref="D48:I48" si="6">MEDIAN(D25:D45)</f>
        <v>405</v>
      </c>
      <c r="E48" s="477">
        <f t="shared" si="6"/>
        <v>6000</v>
      </c>
      <c r="F48" s="477">
        <f t="shared" si="6"/>
        <v>1225</v>
      </c>
      <c r="G48" s="477">
        <f t="shared" si="6"/>
        <v>8150</v>
      </c>
      <c r="H48" s="478">
        <f t="shared" si="6"/>
        <v>12.405502812939522</v>
      </c>
      <c r="I48" s="478">
        <f t="shared" si="6"/>
        <v>17.60936162544488</v>
      </c>
      <c r="J48" s="459"/>
      <c r="K48" s="459"/>
      <c r="L48" s="459"/>
    </row>
    <row r="49" spans="1:20" x14ac:dyDescent="0.25">
      <c r="A49" s="361"/>
      <c r="B49" s="362"/>
      <c r="C49" s="360" t="s">
        <v>30</v>
      </c>
      <c r="D49" s="363"/>
      <c r="E49" s="477"/>
      <c r="F49" s="477"/>
      <c r="G49" s="477"/>
      <c r="H49" s="478"/>
      <c r="I49" s="478"/>
      <c r="J49" s="479">
        <f>+J46/J24</f>
        <v>0.75</v>
      </c>
      <c r="K49" s="479">
        <f>+K46/K24</f>
        <v>0.2</v>
      </c>
      <c r="L49" s="479">
        <f>+L46/L24</f>
        <v>0.05</v>
      </c>
    </row>
    <row r="50" spans="1:20" x14ac:dyDescent="0.25">
      <c r="A50" s="480"/>
      <c r="B50" s="150"/>
      <c r="C50" s="481"/>
      <c r="D50" s="482"/>
      <c r="E50" s="483"/>
      <c r="F50" s="483"/>
      <c r="G50" s="483"/>
      <c r="H50" s="484"/>
      <c r="I50" s="484"/>
      <c r="J50" s="480"/>
      <c r="K50" s="480"/>
      <c r="L50" s="480"/>
    </row>
    <row r="51" spans="1:20" x14ac:dyDescent="0.25">
      <c r="A51" s="480"/>
      <c r="B51" s="150"/>
      <c r="C51" s="481"/>
      <c r="D51" s="482"/>
      <c r="E51" s="483"/>
      <c r="F51" s="483"/>
      <c r="G51" s="483"/>
      <c r="H51" s="484"/>
      <c r="I51" s="484"/>
      <c r="J51" s="480"/>
      <c r="K51" s="480"/>
      <c r="L51" s="480"/>
    </row>
    <row r="52" spans="1:20" s="161" customFormat="1" ht="15" customHeight="1" x14ac:dyDescent="0.25">
      <c r="A52" s="439" t="s">
        <v>668</v>
      </c>
      <c r="B52" s="440"/>
      <c r="C52" s="440"/>
      <c r="D52" s="441"/>
      <c r="E52" s="442"/>
      <c r="F52" s="443"/>
      <c r="G52" s="444"/>
      <c r="H52" s="445"/>
      <c r="I52" s="445"/>
      <c r="J52" s="446"/>
      <c r="K52" s="446"/>
      <c r="L52" s="447"/>
      <c r="O52" s="4"/>
      <c r="P52" s="4"/>
      <c r="Q52" s="4"/>
      <c r="R52" s="4"/>
      <c r="S52" s="4"/>
      <c r="T52" s="4"/>
    </row>
    <row r="53" spans="1:20" s="74" customFormat="1" ht="12.75" customHeight="1" x14ac:dyDescent="0.25">
      <c r="A53" s="448"/>
      <c r="B53" s="449"/>
      <c r="C53" s="449"/>
      <c r="D53" s="450"/>
      <c r="E53" s="413" t="s">
        <v>43</v>
      </c>
      <c r="F53" s="399"/>
      <c r="G53" s="400"/>
      <c r="H53" s="451" t="s">
        <v>46</v>
      </c>
      <c r="I53" s="452"/>
      <c r="J53" s="453" t="s">
        <v>47</v>
      </c>
      <c r="K53" s="454"/>
      <c r="L53" s="454"/>
      <c r="O53" s="4"/>
      <c r="P53" s="4"/>
      <c r="Q53" s="4"/>
      <c r="R53" s="4"/>
      <c r="S53" s="4"/>
      <c r="T53" s="4"/>
    </row>
    <row r="54" spans="1:20" s="74" customFormat="1" ht="26.25" x14ac:dyDescent="0.25">
      <c r="A54" s="455" t="s">
        <v>11</v>
      </c>
      <c r="B54" s="455" t="s">
        <v>12</v>
      </c>
      <c r="C54" s="455" t="s">
        <v>2</v>
      </c>
      <c r="D54" s="456" t="s">
        <v>5</v>
      </c>
      <c r="E54" s="457" t="s">
        <v>54</v>
      </c>
      <c r="F54" s="457" t="s">
        <v>49</v>
      </c>
      <c r="G54" s="457" t="s">
        <v>55</v>
      </c>
      <c r="H54" s="458" t="s">
        <v>48</v>
      </c>
      <c r="I54" s="458" t="s">
        <v>51</v>
      </c>
      <c r="J54" s="459" t="s">
        <v>52</v>
      </c>
      <c r="K54" s="460" t="s">
        <v>53</v>
      </c>
      <c r="L54" s="460" t="s">
        <v>1</v>
      </c>
      <c r="O54" s="4"/>
      <c r="P54" s="4"/>
      <c r="Q54" s="4"/>
      <c r="R54" s="4"/>
      <c r="S54" s="4"/>
      <c r="T54" s="4"/>
    </row>
    <row r="55" spans="1:20" s="74" customFormat="1" x14ac:dyDescent="0.25">
      <c r="A55" s="461" t="s">
        <v>56</v>
      </c>
      <c r="B55" s="462"/>
      <c r="C55" s="293"/>
      <c r="D55" s="463">
        <v>6</v>
      </c>
      <c r="E55" s="463">
        <v>6</v>
      </c>
      <c r="F55" s="463">
        <v>6</v>
      </c>
      <c r="G55" s="463">
        <v>6</v>
      </c>
      <c r="H55" s="463">
        <v>6</v>
      </c>
      <c r="I55" s="463">
        <v>6</v>
      </c>
      <c r="J55" s="463">
        <v>6</v>
      </c>
      <c r="K55" s="463">
        <v>6</v>
      </c>
      <c r="L55" s="463">
        <v>6</v>
      </c>
      <c r="O55" s="4"/>
      <c r="P55" s="4"/>
      <c r="Q55" s="4"/>
      <c r="R55" s="4"/>
      <c r="S55" s="4"/>
      <c r="T55" s="4"/>
    </row>
    <row r="56" spans="1:20" x14ac:dyDescent="0.25">
      <c r="A56" s="170" t="s">
        <v>362</v>
      </c>
      <c r="B56" s="170" t="s">
        <v>306</v>
      </c>
      <c r="C56" s="171" t="s">
        <v>210</v>
      </c>
      <c r="D56" s="115">
        <v>194</v>
      </c>
      <c r="E56" s="485">
        <v>1505</v>
      </c>
      <c r="F56" s="485">
        <v>0</v>
      </c>
      <c r="G56" s="485">
        <v>1505</v>
      </c>
      <c r="H56" s="469">
        <f t="shared" ref="H56:H61" si="7">+E56/D56</f>
        <v>7.7577319587628866</v>
      </c>
      <c r="I56" s="469">
        <f t="shared" ref="I56:I61" si="8">+G56/D56</f>
        <v>7.7577319587628866</v>
      </c>
      <c r="J56" s="175" t="s">
        <v>227</v>
      </c>
      <c r="K56" s="175" t="s">
        <v>224</v>
      </c>
      <c r="L56" s="199"/>
    </row>
    <row r="57" spans="1:20" x14ac:dyDescent="0.25">
      <c r="A57" s="170" t="s">
        <v>178</v>
      </c>
      <c r="B57" s="170" t="s">
        <v>413</v>
      </c>
      <c r="C57" s="171" t="s">
        <v>210</v>
      </c>
      <c r="D57" s="115">
        <v>106</v>
      </c>
      <c r="E57" s="485">
        <v>5500</v>
      </c>
      <c r="F57" s="485">
        <v>3500</v>
      </c>
      <c r="G57" s="485">
        <v>9000</v>
      </c>
      <c r="H57" s="469">
        <f t="shared" si="7"/>
        <v>51.886792452830186</v>
      </c>
      <c r="I57" s="469">
        <f t="shared" si="8"/>
        <v>84.905660377358487</v>
      </c>
      <c r="J57" s="175" t="s">
        <v>224</v>
      </c>
      <c r="K57" s="175" t="s">
        <v>227</v>
      </c>
      <c r="L57" s="199"/>
    </row>
    <row r="58" spans="1:20" x14ac:dyDescent="0.25">
      <c r="A58" s="170" t="s">
        <v>417</v>
      </c>
      <c r="B58" s="170" t="s">
        <v>414</v>
      </c>
      <c r="C58" s="171" t="s">
        <v>210</v>
      </c>
      <c r="D58" s="115">
        <v>182</v>
      </c>
      <c r="E58" s="485">
        <v>3178</v>
      </c>
      <c r="F58" s="485">
        <v>300</v>
      </c>
      <c r="G58" s="485">
        <v>3478</v>
      </c>
      <c r="H58" s="469">
        <f t="shared" si="7"/>
        <v>17.46153846153846</v>
      </c>
      <c r="I58" s="469">
        <f t="shared" si="8"/>
        <v>19.109890109890109</v>
      </c>
      <c r="J58" s="175" t="s">
        <v>224</v>
      </c>
      <c r="K58" s="175" t="s">
        <v>227</v>
      </c>
      <c r="L58" s="199"/>
    </row>
    <row r="59" spans="1:20" x14ac:dyDescent="0.25">
      <c r="A59" s="170" t="s">
        <v>157</v>
      </c>
      <c r="B59" s="170" t="s">
        <v>415</v>
      </c>
      <c r="C59" s="171" t="s">
        <v>210</v>
      </c>
      <c r="D59" s="115">
        <v>83</v>
      </c>
      <c r="E59" s="485">
        <v>2000</v>
      </c>
      <c r="F59" s="473">
        <v>0</v>
      </c>
      <c r="G59" s="485">
        <v>2000</v>
      </c>
      <c r="H59" s="469">
        <f t="shared" si="7"/>
        <v>24.096385542168676</v>
      </c>
      <c r="I59" s="469">
        <f t="shared" si="8"/>
        <v>24.096385542168676</v>
      </c>
      <c r="J59" s="175" t="s">
        <v>224</v>
      </c>
      <c r="K59" s="175" t="s">
        <v>227</v>
      </c>
      <c r="L59" s="199"/>
    </row>
    <row r="60" spans="1:20" x14ac:dyDescent="0.25">
      <c r="A60" s="170" t="s">
        <v>418</v>
      </c>
      <c r="B60" s="170" t="s">
        <v>416</v>
      </c>
      <c r="C60" s="171" t="s">
        <v>211</v>
      </c>
      <c r="D60" s="115">
        <v>212</v>
      </c>
      <c r="E60" s="485">
        <v>1600</v>
      </c>
      <c r="F60" s="485">
        <v>0</v>
      </c>
      <c r="G60" s="485">
        <v>1600</v>
      </c>
      <c r="H60" s="474">
        <f t="shared" si="7"/>
        <v>7.5471698113207548</v>
      </c>
      <c r="I60" s="474">
        <f t="shared" si="8"/>
        <v>7.5471698113207548</v>
      </c>
      <c r="J60" s="175" t="s">
        <v>227</v>
      </c>
      <c r="K60" s="175" t="s">
        <v>224</v>
      </c>
      <c r="L60" s="199"/>
    </row>
    <row r="61" spans="1:20" x14ac:dyDescent="0.25">
      <c r="A61" s="170" t="s">
        <v>179</v>
      </c>
      <c r="B61" s="170" t="s">
        <v>412</v>
      </c>
      <c r="C61" s="171" t="s">
        <v>211</v>
      </c>
      <c r="D61" s="115">
        <v>280</v>
      </c>
      <c r="E61" s="485">
        <v>0</v>
      </c>
      <c r="F61" s="485">
        <v>0</v>
      </c>
      <c r="G61" s="485">
        <v>0</v>
      </c>
      <c r="H61" s="474">
        <f t="shared" si="7"/>
        <v>0</v>
      </c>
      <c r="I61" s="474">
        <f t="shared" si="8"/>
        <v>0</v>
      </c>
      <c r="J61" s="175" t="s">
        <v>227</v>
      </c>
      <c r="K61" s="175" t="s">
        <v>227</v>
      </c>
      <c r="L61" s="274" t="s">
        <v>224</v>
      </c>
    </row>
    <row r="62" spans="1:20" x14ac:dyDescent="0.25">
      <c r="A62" s="355"/>
      <c r="B62" s="356"/>
      <c r="C62" s="486" t="s">
        <v>7</v>
      </c>
      <c r="D62" s="262">
        <f>SUM(D56:D61)</f>
        <v>1057</v>
      </c>
      <c r="E62" s="487">
        <f>SUM(E56:E61)</f>
        <v>13783</v>
      </c>
      <c r="F62" s="487">
        <f>SUM(F56:F61)</f>
        <v>3800</v>
      </c>
      <c r="G62" s="487">
        <f>SUM(G56:G61)</f>
        <v>17583</v>
      </c>
      <c r="H62" s="488"/>
      <c r="I62" s="488"/>
      <c r="J62" s="342">
        <v>3</v>
      </c>
      <c r="K62" s="342">
        <v>2</v>
      </c>
      <c r="L62" s="342">
        <v>1</v>
      </c>
    </row>
    <row r="63" spans="1:20" x14ac:dyDescent="0.25">
      <c r="A63" s="358"/>
      <c r="B63" s="359"/>
      <c r="C63" s="360" t="s">
        <v>8</v>
      </c>
      <c r="D63" s="262">
        <f t="shared" ref="D63:I63" si="9">AVERAGE(D56:D61)</f>
        <v>176.16666666666666</v>
      </c>
      <c r="E63" s="487">
        <f t="shared" si="9"/>
        <v>2297.1666666666665</v>
      </c>
      <c r="F63" s="487">
        <f t="shared" si="9"/>
        <v>633.33333333333337</v>
      </c>
      <c r="G63" s="487">
        <f t="shared" si="9"/>
        <v>2930.5</v>
      </c>
      <c r="H63" s="488">
        <f t="shared" si="9"/>
        <v>18.124936371103495</v>
      </c>
      <c r="I63" s="488">
        <f t="shared" si="9"/>
        <v>23.902806299916815</v>
      </c>
      <c r="J63" s="489"/>
      <c r="K63" s="489"/>
      <c r="L63" s="489"/>
    </row>
    <row r="64" spans="1:20" x14ac:dyDescent="0.25">
      <c r="A64" s="358"/>
      <c r="B64" s="359"/>
      <c r="C64" s="360" t="s">
        <v>9</v>
      </c>
      <c r="D64" s="262">
        <f t="shared" ref="D64:I64" si="10">MEDIAN(D56:D61)</f>
        <v>188</v>
      </c>
      <c r="E64" s="487">
        <f t="shared" si="10"/>
        <v>1800</v>
      </c>
      <c r="F64" s="487">
        <f t="shared" si="10"/>
        <v>0</v>
      </c>
      <c r="G64" s="487">
        <f t="shared" si="10"/>
        <v>1800</v>
      </c>
      <c r="H64" s="488">
        <f t="shared" si="10"/>
        <v>12.609635210150675</v>
      </c>
      <c r="I64" s="488">
        <f t="shared" si="10"/>
        <v>13.433811034326499</v>
      </c>
      <c r="J64" s="489"/>
      <c r="K64" s="489"/>
      <c r="L64" s="489"/>
    </row>
    <row r="65" spans="1:20" x14ac:dyDescent="0.25">
      <c r="A65" s="361"/>
      <c r="B65" s="362"/>
      <c r="C65" s="360" t="s">
        <v>30</v>
      </c>
      <c r="D65" s="363"/>
      <c r="E65" s="487"/>
      <c r="F65" s="487"/>
      <c r="G65" s="487"/>
      <c r="H65" s="488"/>
      <c r="I65" s="488"/>
      <c r="J65" s="490">
        <f>+J62/J55</f>
        <v>0.5</v>
      </c>
      <c r="K65" s="490">
        <f>+K62/K55</f>
        <v>0.33333333333333331</v>
      </c>
      <c r="L65" s="490">
        <f>+L62/L55</f>
        <v>0.16666666666666666</v>
      </c>
    </row>
    <row r="66" spans="1:20" x14ac:dyDescent="0.25">
      <c r="A66" s="480"/>
      <c r="B66" s="150"/>
      <c r="C66" s="481"/>
      <c r="D66" s="482"/>
      <c r="E66" s="483"/>
      <c r="F66" s="483"/>
      <c r="G66" s="483"/>
      <c r="H66" s="484"/>
      <c r="I66" s="484"/>
      <c r="J66" s="480"/>
      <c r="K66" s="480"/>
      <c r="L66" s="480"/>
    </row>
    <row r="67" spans="1:20" x14ac:dyDescent="0.25">
      <c r="A67" s="480"/>
      <c r="B67" s="150"/>
      <c r="C67" s="481"/>
      <c r="D67" s="482"/>
      <c r="E67" s="483"/>
      <c r="F67" s="483"/>
      <c r="G67" s="483"/>
      <c r="H67" s="484"/>
      <c r="I67" s="484"/>
      <c r="J67" s="480"/>
      <c r="K67" s="480"/>
      <c r="L67" s="480"/>
    </row>
    <row r="68" spans="1:20" s="161" customFormat="1" ht="15" customHeight="1" x14ac:dyDescent="0.25">
      <c r="A68" s="491" t="s">
        <v>669</v>
      </c>
      <c r="B68" s="440"/>
      <c r="C68" s="440"/>
      <c r="D68" s="441"/>
      <c r="E68" s="442"/>
      <c r="F68" s="443"/>
      <c r="G68" s="444"/>
      <c r="H68" s="445"/>
      <c r="I68" s="445"/>
      <c r="J68" s="446"/>
      <c r="K68" s="446"/>
      <c r="L68" s="447"/>
      <c r="O68" s="4"/>
      <c r="P68" s="4"/>
      <c r="Q68" s="4"/>
      <c r="R68" s="4"/>
      <c r="S68" s="4"/>
      <c r="T68" s="4"/>
    </row>
    <row r="69" spans="1:20" s="74" customFormat="1" ht="12.75" customHeight="1" x14ac:dyDescent="0.25">
      <c r="A69" s="448"/>
      <c r="B69" s="449"/>
      <c r="C69" s="449"/>
      <c r="D69" s="450"/>
      <c r="E69" s="413" t="s">
        <v>43</v>
      </c>
      <c r="F69" s="399"/>
      <c r="G69" s="400"/>
      <c r="H69" s="451" t="s">
        <v>46</v>
      </c>
      <c r="I69" s="452"/>
      <c r="J69" s="453" t="s">
        <v>47</v>
      </c>
      <c r="K69" s="454"/>
      <c r="L69" s="454"/>
      <c r="O69" s="4"/>
      <c r="P69" s="4"/>
      <c r="Q69" s="4"/>
      <c r="R69" s="4"/>
      <c r="S69" s="4"/>
      <c r="T69" s="4"/>
    </row>
    <row r="70" spans="1:20" s="74" customFormat="1" ht="26.25" x14ac:dyDescent="0.25">
      <c r="A70" s="455" t="s">
        <v>11</v>
      </c>
      <c r="B70" s="455" t="s">
        <v>12</v>
      </c>
      <c r="C70" s="455" t="s">
        <v>2</v>
      </c>
      <c r="D70" s="456" t="s">
        <v>5</v>
      </c>
      <c r="E70" s="457" t="s">
        <v>54</v>
      </c>
      <c r="F70" s="457" t="s">
        <v>49</v>
      </c>
      <c r="G70" s="457" t="s">
        <v>55</v>
      </c>
      <c r="H70" s="458" t="s">
        <v>48</v>
      </c>
      <c r="I70" s="458" t="s">
        <v>51</v>
      </c>
      <c r="J70" s="459" t="s">
        <v>52</v>
      </c>
      <c r="K70" s="460" t="s">
        <v>53</v>
      </c>
      <c r="L70" s="460" t="s">
        <v>1</v>
      </c>
      <c r="O70" s="4"/>
      <c r="P70" s="4"/>
      <c r="Q70" s="4"/>
      <c r="R70" s="4"/>
      <c r="S70" s="4"/>
      <c r="T70" s="4"/>
    </row>
    <row r="71" spans="1:20" s="74" customFormat="1" x14ac:dyDescent="0.25">
      <c r="A71" s="461" t="s">
        <v>56</v>
      </c>
      <c r="B71" s="462"/>
      <c r="C71" s="293"/>
      <c r="D71" s="463">
        <v>4</v>
      </c>
      <c r="E71" s="463">
        <v>4</v>
      </c>
      <c r="F71" s="463">
        <v>4</v>
      </c>
      <c r="G71" s="463">
        <v>4</v>
      </c>
      <c r="H71" s="463">
        <v>4</v>
      </c>
      <c r="I71" s="463">
        <v>4</v>
      </c>
      <c r="J71" s="463">
        <v>4</v>
      </c>
      <c r="K71" s="463">
        <v>4</v>
      </c>
      <c r="L71" s="463">
        <v>4</v>
      </c>
      <c r="O71" s="4"/>
      <c r="P71" s="4"/>
      <c r="Q71" s="4"/>
      <c r="R71" s="4"/>
      <c r="S71" s="4"/>
      <c r="T71" s="4"/>
    </row>
    <row r="72" spans="1:20" x14ac:dyDescent="0.25">
      <c r="A72" s="170" t="s">
        <v>180</v>
      </c>
      <c r="B72" s="170" t="s">
        <v>441</v>
      </c>
      <c r="C72" s="199" t="s">
        <v>449</v>
      </c>
      <c r="D72" s="200">
        <v>236</v>
      </c>
      <c r="E72" s="465">
        <v>4900</v>
      </c>
      <c r="F72" s="492">
        <v>0</v>
      </c>
      <c r="G72" s="465">
        <v>7500</v>
      </c>
      <c r="H72" s="469">
        <f t="shared" ref="H72:H75" si="11">+E72/D72</f>
        <v>20.762711864406779</v>
      </c>
      <c r="I72" s="469">
        <f t="shared" ref="I72:I75" si="12">+G72/D72</f>
        <v>31.779661016949152</v>
      </c>
      <c r="J72" s="276"/>
      <c r="K72" s="276" t="s">
        <v>224</v>
      </c>
      <c r="L72" s="276" t="s">
        <v>227</v>
      </c>
    </row>
    <row r="73" spans="1:20" x14ac:dyDescent="0.25">
      <c r="A73" s="170" t="s">
        <v>417</v>
      </c>
      <c r="B73" s="170" t="s">
        <v>205</v>
      </c>
      <c r="C73" s="199" t="s">
        <v>212</v>
      </c>
      <c r="D73" s="200">
        <v>168</v>
      </c>
      <c r="E73" s="465">
        <v>4838</v>
      </c>
      <c r="F73" s="465">
        <v>0</v>
      </c>
      <c r="G73" s="465">
        <v>4838</v>
      </c>
      <c r="H73" s="469">
        <f t="shared" si="11"/>
        <v>28.797619047619047</v>
      </c>
      <c r="I73" s="469">
        <f t="shared" si="12"/>
        <v>28.797619047619047</v>
      </c>
      <c r="J73" s="276" t="s">
        <v>227</v>
      </c>
      <c r="K73" s="276" t="s">
        <v>224</v>
      </c>
      <c r="L73" s="276"/>
    </row>
    <row r="74" spans="1:20" x14ac:dyDescent="0.25">
      <c r="A74" s="170" t="s">
        <v>443</v>
      </c>
      <c r="B74" s="170" t="s">
        <v>442</v>
      </c>
      <c r="C74" s="199" t="s">
        <v>212</v>
      </c>
      <c r="D74" s="200">
        <v>89</v>
      </c>
      <c r="E74" s="465">
        <v>3100</v>
      </c>
      <c r="F74" s="492">
        <v>0</v>
      </c>
      <c r="G74" s="465">
        <v>3100</v>
      </c>
      <c r="H74" s="474">
        <f t="shared" si="11"/>
        <v>34.831460674157306</v>
      </c>
      <c r="I74" s="474">
        <f t="shared" si="12"/>
        <v>34.831460674157306</v>
      </c>
      <c r="J74" s="274"/>
      <c r="K74" s="274" t="s">
        <v>227</v>
      </c>
      <c r="L74" s="274"/>
    </row>
    <row r="75" spans="1:20" x14ac:dyDescent="0.25">
      <c r="A75" s="170" t="s">
        <v>181</v>
      </c>
      <c r="B75" s="170" t="s">
        <v>434</v>
      </c>
      <c r="C75" s="199" t="s">
        <v>212</v>
      </c>
      <c r="D75" s="200">
        <v>36</v>
      </c>
      <c r="E75" s="465">
        <v>200</v>
      </c>
      <c r="F75" s="465">
        <v>200</v>
      </c>
      <c r="G75" s="465">
        <v>400</v>
      </c>
      <c r="H75" s="474">
        <f t="shared" si="11"/>
        <v>5.5555555555555554</v>
      </c>
      <c r="I75" s="474">
        <f t="shared" si="12"/>
        <v>11.111111111111111</v>
      </c>
      <c r="J75" s="274"/>
      <c r="K75" s="274" t="s">
        <v>224</v>
      </c>
      <c r="L75" s="274"/>
    </row>
    <row r="76" spans="1:20" x14ac:dyDescent="0.25">
      <c r="A76" s="355"/>
      <c r="B76" s="356"/>
      <c r="C76" s="155" t="s">
        <v>7</v>
      </c>
      <c r="D76" s="262">
        <f>SUM(D72:D75)</f>
        <v>529</v>
      </c>
      <c r="E76" s="477">
        <f>SUM(E72:E75)</f>
        <v>13038</v>
      </c>
      <c r="F76" s="477">
        <f>SUM(F72:F75)</f>
        <v>200</v>
      </c>
      <c r="G76" s="477">
        <f>SUM(G72:G75)</f>
        <v>15838</v>
      </c>
      <c r="H76" s="478"/>
      <c r="I76" s="478"/>
      <c r="J76" s="342">
        <v>0</v>
      </c>
      <c r="K76" s="342">
        <v>3</v>
      </c>
      <c r="L76" s="342">
        <v>0</v>
      </c>
    </row>
    <row r="77" spans="1:20" x14ac:dyDescent="0.25">
      <c r="A77" s="358"/>
      <c r="B77" s="359"/>
      <c r="C77" s="360" t="s">
        <v>8</v>
      </c>
      <c r="D77" s="262">
        <f t="shared" ref="D77:I77" si="13">AVERAGE(D72:D75)</f>
        <v>132.25</v>
      </c>
      <c r="E77" s="477">
        <f t="shared" si="13"/>
        <v>3259.5</v>
      </c>
      <c r="F77" s="477">
        <f t="shared" si="13"/>
        <v>50</v>
      </c>
      <c r="G77" s="477">
        <f t="shared" si="13"/>
        <v>3959.5</v>
      </c>
      <c r="H77" s="478">
        <f t="shared" si="13"/>
        <v>22.486836785434672</v>
      </c>
      <c r="I77" s="478">
        <f t="shared" si="13"/>
        <v>26.629962962459153</v>
      </c>
      <c r="J77" s="459"/>
      <c r="K77" s="459"/>
      <c r="L77" s="459"/>
    </row>
    <row r="78" spans="1:20" x14ac:dyDescent="0.25">
      <c r="A78" s="358"/>
      <c r="B78" s="359"/>
      <c r="C78" s="360" t="s">
        <v>9</v>
      </c>
      <c r="D78" s="262">
        <f>MEDIAN(D72:D75)</f>
        <v>128.5</v>
      </c>
      <c r="E78" s="477">
        <f>MEDIAN(E72:E75)</f>
        <v>3969</v>
      </c>
      <c r="F78" s="477">
        <f>MEDIAN(F72:F75)</f>
        <v>0</v>
      </c>
      <c r="G78" s="477">
        <f>MEDIAN(G72:G75)</f>
        <v>3969</v>
      </c>
      <c r="H78" s="478">
        <f>AVERAGE(H72:H75)</f>
        <v>22.486836785434672</v>
      </c>
      <c r="I78" s="478">
        <f>AVERAGE(I72:I75)</f>
        <v>26.629962962459153</v>
      </c>
      <c r="J78" s="459"/>
      <c r="K78" s="459"/>
      <c r="L78" s="459"/>
    </row>
    <row r="79" spans="1:20" x14ac:dyDescent="0.25">
      <c r="A79" s="361"/>
      <c r="B79" s="362"/>
      <c r="C79" s="360" t="s">
        <v>30</v>
      </c>
      <c r="D79" s="363"/>
      <c r="E79" s="477"/>
      <c r="F79" s="477"/>
      <c r="G79" s="477"/>
      <c r="H79" s="478"/>
      <c r="I79" s="478"/>
      <c r="J79" s="479">
        <f>+J76/J71</f>
        <v>0</v>
      </c>
      <c r="K79" s="479">
        <f>+K76/K71</f>
        <v>0.75</v>
      </c>
      <c r="L79" s="479">
        <v>0</v>
      </c>
    </row>
    <row r="80" spans="1:20" x14ac:dyDescent="0.25">
      <c r="A80" s="480"/>
      <c r="B80" s="150"/>
      <c r="C80" s="481"/>
      <c r="D80" s="482"/>
      <c r="E80" s="483"/>
      <c r="F80" s="483"/>
      <c r="G80" s="483"/>
      <c r="H80" s="484"/>
      <c r="I80" s="484"/>
      <c r="J80" s="480"/>
      <c r="K80" s="480"/>
      <c r="L80" s="480"/>
    </row>
    <row r="81" spans="1:12" x14ac:dyDescent="0.25">
      <c r="A81" s="480"/>
      <c r="B81" s="150"/>
      <c r="C81" s="481"/>
      <c r="D81" s="482"/>
      <c r="E81" s="483"/>
      <c r="F81" s="483"/>
      <c r="G81" s="483"/>
      <c r="H81" s="484"/>
      <c r="I81" s="484"/>
      <c r="J81" s="480"/>
      <c r="K81" s="480"/>
      <c r="L81" s="480"/>
    </row>
    <row r="82" spans="1:12" s="161" customFormat="1" ht="15" customHeight="1" x14ac:dyDescent="0.2">
      <c r="A82" s="439" t="s">
        <v>673</v>
      </c>
      <c r="B82" s="440"/>
      <c r="C82" s="440"/>
      <c r="D82" s="441"/>
      <c r="E82" s="442"/>
      <c r="F82" s="443"/>
      <c r="G82" s="444"/>
      <c r="H82" s="445"/>
      <c r="I82" s="445"/>
      <c r="J82" s="446"/>
      <c r="K82" s="446"/>
      <c r="L82" s="447"/>
    </row>
    <row r="83" spans="1:12" s="74" customFormat="1" ht="12.75" customHeight="1" x14ac:dyDescent="0.25">
      <c r="A83" s="448"/>
      <c r="B83" s="449"/>
      <c r="C83" s="449"/>
      <c r="D83" s="450"/>
      <c r="E83" s="413" t="s">
        <v>43</v>
      </c>
      <c r="F83" s="399"/>
      <c r="G83" s="400"/>
      <c r="H83" s="451" t="s">
        <v>46</v>
      </c>
      <c r="I83" s="452"/>
      <c r="J83" s="453" t="s">
        <v>47</v>
      </c>
      <c r="K83" s="454"/>
      <c r="L83" s="454"/>
    </row>
    <row r="84" spans="1:12" s="74" customFormat="1" ht="25.5" x14ac:dyDescent="0.2">
      <c r="A84" s="455" t="s">
        <v>11</v>
      </c>
      <c r="B84" s="455" t="s">
        <v>12</v>
      </c>
      <c r="C84" s="455" t="s">
        <v>2</v>
      </c>
      <c r="D84" s="456" t="s">
        <v>5</v>
      </c>
      <c r="E84" s="457" t="s">
        <v>54</v>
      </c>
      <c r="F84" s="457" t="s">
        <v>49</v>
      </c>
      <c r="G84" s="457" t="s">
        <v>55</v>
      </c>
      <c r="H84" s="458" t="s">
        <v>48</v>
      </c>
      <c r="I84" s="458" t="s">
        <v>51</v>
      </c>
      <c r="J84" s="459" t="s">
        <v>52</v>
      </c>
      <c r="K84" s="460" t="s">
        <v>53</v>
      </c>
      <c r="L84" s="460" t="s">
        <v>1</v>
      </c>
    </row>
    <row r="85" spans="1:12" s="74" customFormat="1" x14ac:dyDescent="0.25">
      <c r="A85" s="461" t="s">
        <v>56</v>
      </c>
      <c r="B85" s="462"/>
      <c r="C85" s="293"/>
      <c r="D85" s="463">
        <v>14</v>
      </c>
      <c r="E85" s="463">
        <v>13</v>
      </c>
      <c r="F85" s="463">
        <v>13</v>
      </c>
      <c r="G85" s="463">
        <v>13</v>
      </c>
      <c r="H85" s="463">
        <v>13</v>
      </c>
      <c r="I85" s="463">
        <v>13</v>
      </c>
      <c r="J85" s="463">
        <v>13</v>
      </c>
      <c r="K85" s="463">
        <v>13</v>
      </c>
      <c r="L85" s="463">
        <v>13</v>
      </c>
    </row>
    <row r="86" spans="1:12" x14ac:dyDescent="0.25">
      <c r="A86" s="170" t="s">
        <v>361</v>
      </c>
      <c r="B86" s="170" t="s">
        <v>503</v>
      </c>
      <c r="C86" s="206" t="s">
        <v>213</v>
      </c>
      <c r="D86" s="200">
        <v>719</v>
      </c>
      <c r="E86" s="465">
        <v>4500</v>
      </c>
      <c r="F86" s="465">
        <v>400</v>
      </c>
      <c r="G86" s="465">
        <v>4900</v>
      </c>
      <c r="H86" s="469">
        <f t="shared" ref="H86:H99" si="14">+E86/D86</f>
        <v>6.2586926286509037</v>
      </c>
      <c r="I86" s="469">
        <f t="shared" ref="I86:I99" si="15">+G86/D86</f>
        <v>6.8150208623087618</v>
      </c>
      <c r="J86" s="175" t="s">
        <v>224</v>
      </c>
      <c r="K86" s="175" t="s">
        <v>227</v>
      </c>
      <c r="L86" s="276"/>
    </row>
    <row r="87" spans="1:12" x14ac:dyDescent="0.25">
      <c r="A87" s="170" t="s">
        <v>163</v>
      </c>
      <c r="B87" s="170" t="s">
        <v>164</v>
      </c>
      <c r="C87" s="206" t="s">
        <v>213</v>
      </c>
      <c r="D87" s="200">
        <v>173</v>
      </c>
      <c r="E87" s="465">
        <v>5250</v>
      </c>
      <c r="F87" s="465">
        <v>0</v>
      </c>
      <c r="G87" s="465">
        <v>5250</v>
      </c>
      <c r="H87" s="469">
        <f>+E87/D87</f>
        <v>30.346820809248555</v>
      </c>
      <c r="I87" s="469">
        <f>+G87/D87</f>
        <v>30.346820809248555</v>
      </c>
      <c r="J87" s="175" t="s">
        <v>224</v>
      </c>
      <c r="K87" s="175" t="s">
        <v>227</v>
      </c>
      <c r="L87" s="276"/>
    </row>
    <row r="88" spans="1:12" x14ac:dyDescent="0.25">
      <c r="A88" s="170" t="s">
        <v>148</v>
      </c>
      <c r="B88" s="170" t="s">
        <v>504</v>
      </c>
      <c r="C88" s="206" t="s">
        <v>214</v>
      </c>
      <c r="D88" s="200">
        <v>890</v>
      </c>
      <c r="E88" s="465">
        <v>5250</v>
      </c>
      <c r="F88" s="465">
        <v>1000</v>
      </c>
      <c r="G88" s="465">
        <v>6250</v>
      </c>
      <c r="H88" s="469">
        <f t="shared" si="14"/>
        <v>5.8988764044943824</v>
      </c>
      <c r="I88" s="469">
        <f t="shared" si="15"/>
        <v>7.0224719101123592</v>
      </c>
      <c r="J88" s="175" t="s">
        <v>224</v>
      </c>
      <c r="K88" s="175" t="s">
        <v>227</v>
      </c>
      <c r="L88" s="276"/>
    </row>
    <row r="89" spans="1:12" x14ac:dyDescent="0.25">
      <c r="A89" s="170" t="s">
        <v>148</v>
      </c>
      <c r="B89" s="170" t="s">
        <v>505</v>
      </c>
      <c r="C89" s="206" t="s">
        <v>214</v>
      </c>
      <c r="D89" s="200">
        <v>717</v>
      </c>
      <c r="E89" s="465">
        <v>5000</v>
      </c>
      <c r="F89" s="465">
        <v>5000</v>
      </c>
      <c r="G89" s="465">
        <v>10000</v>
      </c>
      <c r="H89" s="469">
        <f t="shared" si="14"/>
        <v>6.9735006973500697</v>
      </c>
      <c r="I89" s="469">
        <f t="shared" si="15"/>
        <v>13.947001394700139</v>
      </c>
      <c r="J89" s="175" t="s">
        <v>227</v>
      </c>
      <c r="K89" s="175" t="s">
        <v>480</v>
      </c>
      <c r="L89" s="276"/>
    </row>
    <row r="90" spans="1:12" x14ac:dyDescent="0.25">
      <c r="A90" s="170" t="s">
        <v>178</v>
      </c>
      <c r="B90" s="170" t="s">
        <v>243</v>
      </c>
      <c r="C90" s="206" t="s">
        <v>214</v>
      </c>
      <c r="D90" s="200">
        <v>470</v>
      </c>
      <c r="E90" s="465">
        <v>5000</v>
      </c>
      <c r="F90" s="465">
        <v>5000</v>
      </c>
      <c r="G90" s="465">
        <v>10000</v>
      </c>
      <c r="H90" s="469">
        <f t="shared" si="14"/>
        <v>10.638297872340425</v>
      </c>
      <c r="I90" s="469">
        <f t="shared" si="15"/>
        <v>21.276595744680851</v>
      </c>
      <c r="J90" s="175" t="s">
        <v>227</v>
      </c>
      <c r="K90" s="175" t="s">
        <v>480</v>
      </c>
      <c r="L90" s="276"/>
    </row>
    <row r="91" spans="1:12" x14ac:dyDescent="0.25">
      <c r="A91" s="170" t="s">
        <v>364</v>
      </c>
      <c r="B91" s="170" t="s">
        <v>450</v>
      </c>
      <c r="C91" s="206" t="s">
        <v>213</v>
      </c>
      <c r="D91" s="200">
        <v>447</v>
      </c>
      <c r="E91" s="465">
        <v>4275</v>
      </c>
      <c r="F91" s="465">
        <v>0</v>
      </c>
      <c r="G91" s="465">
        <v>4275</v>
      </c>
      <c r="H91" s="469">
        <f t="shared" si="14"/>
        <v>9.5637583892617446</v>
      </c>
      <c r="I91" s="469">
        <f t="shared" si="15"/>
        <v>9.5637583892617446</v>
      </c>
      <c r="J91" s="175" t="s">
        <v>227</v>
      </c>
      <c r="K91" s="175" t="s">
        <v>480</v>
      </c>
      <c r="L91" s="276"/>
    </row>
    <row r="92" spans="1:12" x14ac:dyDescent="0.25">
      <c r="A92" s="170" t="s">
        <v>364</v>
      </c>
      <c r="B92" s="170" t="s">
        <v>506</v>
      </c>
      <c r="C92" s="206" t="s">
        <v>213</v>
      </c>
      <c r="D92" s="200">
        <v>792</v>
      </c>
      <c r="E92" s="465">
        <v>12174</v>
      </c>
      <c r="F92" s="492">
        <v>0</v>
      </c>
      <c r="G92" s="492">
        <v>12174</v>
      </c>
      <c r="H92" s="469">
        <f>+E92/D92</f>
        <v>15.371212121212121</v>
      </c>
      <c r="I92" s="469">
        <f>+G92/D92</f>
        <v>15.371212121212121</v>
      </c>
      <c r="J92" s="175" t="s">
        <v>224</v>
      </c>
      <c r="K92" s="175" t="s">
        <v>227</v>
      </c>
      <c r="L92" s="276"/>
    </row>
    <row r="93" spans="1:12" x14ac:dyDescent="0.25">
      <c r="A93" s="170" t="s">
        <v>364</v>
      </c>
      <c r="B93" s="170" t="s">
        <v>507</v>
      </c>
      <c r="C93" s="206" t="s">
        <v>213</v>
      </c>
      <c r="D93" s="200">
        <v>767</v>
      </c>
      <c r="E93" s="465">
        <v>5500</v>
      </c>
      <c r="F93" s="465">
        <v>3750</v>
      </c>
      <c r="G93" s="465">
        <v>9250</v>
      </c>
      <c r="H93" s="493">
        <f t="shared" si="14"/>
        <v>7.170795306388527</v>
      </c>
      <c r="I93" s="493">
        <f t="shared" si="15"/>
        <v>12.059973924380705</v>
      </c>
      <c r="J93" s="175" t="s">
        <v>224</v>
      </c>
      <c r="K93" s="175" t="s">
        <v>227</v>
      </c>
      <c r="L93" s="276"/>
    </row>
    <row r="94" spans="1:12" x14ac:dyDescent="0.25">
      <c r="A94" s="170" t="s">
        <v>149</v>
      </c>
      <c r="B94" s="170" t="s">
        <v>312</v>
      </c>
      <c r="C94" s="206" t="s">
        <v>213</v>
      </c>
      <c r="D94" s="200">
        <v>466</v>
      </c>
      <c r="E94" s="465">
        <v>6500</v>
      </c>
      <c r="F94" s="465">
        <v>2400</v>
      </c>
      <c r="G94" s="465">
        <v>8900</v>
      </c>
      <c r="H94" s="469">
        <f t="shared" si="14"/>
        <v>13.948497854077253</v>
      </c>
      <c r="I94" s="469">
        <f t="shared" si="15"/>
        <v>19.098712446351932</v>
      </c>
      <c r="J94" s="175" t="s">
        <v>224</v>
      </c>
      <c r="K94" s="175" t="s">
        <v>227</v>
      </c>
      <c r="L94" s="276"/>
    </row>
    <row r="95" spans="1:12" x14ac:dyDescent="0.25">
      <c r="A95" s="170" t="s">
        <v>183</v>
      </c>
      <c r="B95" s="170" t="s">
        <v>244</v>
      </c>
      <c r="C95" s="206" t="s">
        <v>213</v>
      </c>
      <c r="D95" s="200">
        <v>869</v>
      </c>
      <c r="E95" s="470" t="s">
        <v>233</v>
      </c>
      <c r="F95" s="470" t="s">
        <v>233</v>
      </c>
      <c r="G95" s="470" t="s">
        <v>233</v>
      </c>
      <c r="H95" s="471" t="s">
        <v>233</v>
      </c>
      <c r="I95" s="471" t="s">
        <v>233</v>
      </c>
      <c r="J95" s="219" t="s">
        <v>233</v>
      </c>
      <c r="K95" s="219" t="s">
        <v>233</v>
      </c>
      <c r="L95" s="494" t="s">
        <v>233</v>
      </c>
    </row>
    <row r="96" spans="1:12" x14ac:dyDescent="0.25">
      <c r="A96" s="170" t="s">
        <v>143</v>
      </c>
      <c r="B96" s="170" t="s">
        <v>508</v>
      </c>
      <c r="C96" s="206" t="s">
        <v>213</v>
      </c>
      <c r="D96" s="200">
        <v>105</v>
      </c>
      <c r="E96" s="465">
        <v>1000</v>
      </c>
      <c r="F96" s="465">
        <v>1000</v>
      </c>
      <c r="G96" s="465">
        <v>2000</v>
      </c>
      <c r="H96" s="469">
        <f t="shared" si="14"/>
        <v>9.5238095238095237</v>
      </c>
      <c r="I96" s="469">
        <f t="shared" si="15"/>
        <v>19.047619047619047</v>
      </c>
      <c r="J96" s="175" t="s">
        <v>224</v>
      </c>
      <c r="K96" s="175" t="s">
        <v>227</v>
      </c>
      <c r="L96" s="276"/>
    </row>
    <row r="97" spans="1:19" x14ac:dyDescent="0.25">
      <c r="A97" s="170" t="s">
        <v>257</v>
      </c>
      <c r="B97" s="170" t="s">
        <v>509</v>
      </c>
      <c r="C97" s="206" t="s">
        <v>214</v>
      </c>
      <c r="D97" s="200">
        <v>799</v>
      </c>
      <c r="E97" s="465">
        <v>6600</v>
      </c>
      <c r="F97" s="465">
        <v>0</v>
      </c>
      <c r="G97" s="465">
        <v>6600</v>
      </c>
      <c r="H97" s="469">
        <f t="shared" si="14"/>
        <v>8.2603254067584473</v>
      </c>
      <c r="I97" s="469">
        <f t="shared" si="15"/>
        <v>8.2603254067584473</v>
      </c>
      <c r="J97" s="175" t="s">
        <v>232</v>
      </c>
      <c r="K97" s="175" t="s">
        <v>480</v>
      </c>
      <c r="L97" s="276"/>
    </row>
    <row r="98" spans="1:19" x14ac:dyDescent="0.25">
      <c r="A98" s="170" t="s">
        <v>365</v>
      </c>
      <c r="B98" s="170" t="s">
        <v>313</v>
      </c>
      <c r="C98" s="206" t="s">
        <v>213</v>
      </c>
      <c r="D98" s="200">
        <v>698</v>
      </c>
      <c r="E98" s="465">
        <v>5000</v>
      </c>
      <c r="F98" s="465">
        <v>300</v>
      </c>
      <c r="G98" s="465">
        <v>5300</v>
      </c>
      <c r="H98" s="469">
        <f t="shared" si="14"/>
        <v>7.1633237822349569</v>
      </c>
      <c r="I98" s="469">
        <f t="shared" si="15"/>
        <v>7.5931232091690548</v>
      </c>
      <c r="J98" s="175" t="s">
        <v>227</v>
      </c>
      <c r="K98" s="175" t="s">
        <v>480</v>
      </c>
      <c r="L98" s="276"/>
    </row>
    <row r="99" spans="1:19" x14ac:dyDescent="0.25">
      <c r="A99" s="170" t="s">
        <v>174</v>
      </c>
      <c r="B99" s="170" t="s">
        <v>177</v>
      </c>
      <c r="C99" s="206" t="s">
        <v>213</v>
      </c>
      <c r="D99" s="200">
        <v>245</v>
      </c>
      <c r="E99" s="465">
        <v>8350</v>
      </c>
      <c r="F99" s="465">
        <v>0</v>
      </c>
      <c r="G99" s="465">
        <v>8350</v>
      </c>
      <c r="H99" s="469">
        <f t="shared" si="14"/>
        <v>34.081632653061227</v>
      </c>
      <c r="I99" s="469">
        <f t="shared" si="15"/>
        <v>34.081632653061227</v>
      </c>
      <c r="J99" s="175" t="s">
        <v>224</v>
      </c>
      <c r="K99" s="175" t="s">
        <v>227</v>
      </c>
      <c r="L99" s="276"/>
    </row>
    <row r="100" spans="1:19" x14ac:dyDescent="0.25">
      <c r="A100" s="355"/>
      <c r="B100" s="356"/>
      <c r="C100" s="486" t="s">
        <v>7</v>
      </c>
      <c r="D100" s="262">
        <f>SUM(D86:D99)</f>
        <v>8157</v>
      </c>
      <c r="E100" s="477">
        <f>SUM(E86:E99)</f>
        <v>74399</v>
      </c>
      <c r="F100" s="477">
        <f>SUM(F86:F99)</f>
        <v>18850</v>
      </c>
      <c r="G100" s="477">
        <f>SUM(G86:G99)</f>
        <v>93249</v>
      </c>
      <c r="H100" s="478"/>
      <c r="I100" s="478"/>
      <c r="J100" s="342">
        <v>8</v>
      </c>
      <c r="K100" s="342">
        <v>5</v>
      </c>
      <c r="L100" s="342">
        <v>0</v>
      </c>
    </row>
    <row r="101" spans="1:19" x14ac:dyDescent="0.25">
      <c r="A101" s="358"/>
      <c r="B101" s="359"/>
      <c r="C101" s="360" t="s">
        <v>8</v>
      </c>
      <c r="D101" s="262">
        <f t="shared" ref="D101:I101" si="16">AVERAGE(D86:D99)</f>
        <v>582.64285714285711</v>
      </c>
      <c r="E101" s="477">
        <f t="shared" si="16"/>
        <v>5723</v>
      </c>
      <c r="F101" s="477">
        <f t="shared" si="16"/>
        <v>1450</v>
      </c>
      <c r="G101" s="477">
        <f t="shared" si="16"/>
        <v>7173</v>
      </c>
      <c r="H101" s="478">
        <f t="shared" si="16"/>
        <v>12.707657188376011</v>
      </c>
      <c r="I101" s="478">
        <f t="shared" si="16"/>
        <v>15.729559070681919</v>
      </c>
      <c r="J101" s="459"/>
      <c r="K101" s="459"/>
      <c r="L101" s="459"/>
    </row>
    <row r="102" spans="1:19" x14ac:dyDescent="0.25">
      <c r="A102" s="358"/>
      <c r="B102" s="359"/>
      <c r="C102" s="360" t="s">
        <v>9</v>
      </c>
      <c r="D102" s="262">
        <f t="shared" ref="D102:I102" si="17">MEDIAN(D86:D99)</f>
        <v>707.5</v>
      </c>
      <c r="E102" s="477">
        <f t="shared" si="17"/>
        <v>5250</v>
      </c>
      <c r="F102" s="477">
        <f t="shared" si="17"/>
        <v>400</v>
      </c>
      <c r="G102" s="477">
        <f t="shared" si="17"/>
        <v>6600</v>
      </c>
      <c r="H102" s="478">
        <f t="shared" si="17"/>
        <v>9.5238095238095237</v>
      </c>
      <c r="I102" s="478">
        <f t="shared" si="17"/>
        <v>13.947001394700139</v>
      </c>
      <c r="J102" s="459"/>
      <c r="K102" s="459"/>
      <c r="L102" s="459"/>
    </row>
    <row r="103" spans="1:19" x14ac:dyDescent="0.25">
      <c r="A103" s="361"/>
      <c r="B103" s="362"/>
      <c r="C103" s="360" t="s">
        <v>30</v>
      </c>
      <c r="D103" s="363"/>
      <c r="E103" s="477"/>
      <c r="F103" s="477"/>
      <c r="G103" s="477"/>
      <c r="H103" s="478"/>
      <c r="I103" s="478"/>
      <c r="J103" s="479">
        <f>+J100/J85</f>
        <v>0.61538461538461542</v>
      </c>
      <c r="K103" s="479">
        <f>+K100/K85</f>
        <v>0.38461538461538464</v>
      </c>
      <c r="L103" s="479">
        <v>0</v>
      </c>
    </row>
    <row r="104" spans="1:19" x14ac:dyDescent="0.25">
      <c r="A104" s="480"/>
      <c r="B104" s="150"/>
      <c r="C104" s="481"/>
      <c r="D104" s="482"/>
      <c r="E104" s="483"/>
      <c r="F104" s="483"/>
      <c r="G104" s="483"/>
      <c r="H104" s="484"/>
      <c r="I104" s="484"/>
      <c r="J104" s="480"/>
      <c r="K104" s="480"/>
      <c r="L104" s="480"/>
    </row>
    <row r="105" spans="1:19" x14ac:dyDescent="0.25">
      <c r="A105" s="480"/>
      <c r="B105" s="150"/>
      <c r="C105" s="481"/>
      <c r="D105" s="482"/>
      <c r="E105" s="483"/>
      <c r="F105" s="483"/>
      <c r="G105" s="483"/>
      <c r="H105" s="484"/>
      <c r="I105" s="484"/>
      <c r="J105" s="480"/>
      <c r="K105" s="480"/>
      <c r="L105" s="480"/>
    </row>
    <row r="106" spans="1:19" s="161" customFormat="1" ht="15" customHeight="1" x14ac:dyDescent="0.25">
      <c r="A106" s="439" t="s">
        <v>671</v>
      </c>
      <c r="B106" s="440"/>
      <c r="C106" s="440"/>
      <c r="D106" s="441"/>
      <c r="E106" s="442"/>
      <c r="F106" s="443"/>
      <c r="G106" s="444"/>
      <c r="H106" s="445"/>
      <c r="I106" s="445"/>
      <c r="J106" s="446"/>
      <c r="K106" s="446"/>
      <c r="L106" s="447"/>
      <c r="O106" s="4"/>
      <c r="P106" s="4"/>
      <c r="Q106" s="4"/>
      <c r="R106" s="4"/>
      <c r="S106" s="4"/>
    </row>
    <row r="107" spans="1:19" s="74" customFormat="1" ht="12.75" customHeight="1" x14ac:dyDescent="0.25">
      <c r="A107" s="448"/>
      <c r="B107" s="449"/>
      <c r="C107" s="449"/>
      <c r="D107" s="450"/>
      <c r="E107" s="413" t="s">
        <v>43</v>
      </c>
      <c r="F107" s="399"/>
      <c r="G107" s="400"/>
      <c r="H107" s="451" t="s">
        <v>46</v>
      </c>
      <c r="I107" s="452"/>
      <c r="J107" s="453" t="s">
        <v>47</v>
      </c>
      <c r="K107" s="454"/>
      <c r="L107" s="454"/>
      <c r="O107" s="4"/>
      <c r="P107" s="4"/>
      <c r="Q107" s="4"/>
      <c r="R107" s="4"/>
      <c r="S107" s="4"/>
    </row>
    <row r="108" spans="1:19" s="74" customFormat="1" ht="26.25" x14ac:dyDescent="0.25">
      <c r="A108" s="455" t="s">
        <v>11</v>
      </c>
      <c r="B108" s="455" t="s">
        <v>12</v>
      </c>
      <c r="C108" s="455" t="s">
        <v>2</v>
      </c>
      <c r="D108" s="456" t="s">
        <v>5</v>
      </c>
      <c r="E108" s="457" t="s">
        <v>54</v>
      </c>
      <c r="F108" s="457" t="s">
        <v>49</v>
      </c>
      <c r="G108" s="457" t="s">
        <v>55</v>
      </c>
      <c r="H108" s="458" t="s">
        <v>48</v>
      </c>
      <c r="I108" s="458" t="s">
        <v>51</v>
      </c>
      <c r="J108" s="459" t="s">
        <v>52</v>
      </c>
      <c r="K108" s="460" t="s">
        <v>53</v>
      </c>
      <c r="L108" s="460" t="s">
        <v>1</v>
      </c>
      <c r="O108" s="4"/>
      <c r="P108" s="4"/>
      <c r="Q108" s="4"/>
      <c r="R108" s="4"/>
      <c r="S108" s="4"/>
    </row>
    <row r="109" spans="1:19" s="74" customFormat="1" x14ac:dyDescent="0.25">
      <c r="A109" s="461" t="s">
        <v>56</v>
      </c>
      <c r="B109" s="462"/>
      <c r="C109" s="293"/>
      <c r="D109" s="463">
        <v>7</v>
      </c>
      <c r="E109" s="463">
        <v>5</v>
      </c>
      <c r="F109" s="463">
        <v>5</v>
      </c>
      <c r="G109" s="463">
        <v>5</v>
      </c>
      <c r="H109" s="463">
        <v>5</v>
      </c>
      <c r="I109" s="463">
        <v>5</v>
      </c>
      <c r="J109" s="463">
        <v>5</v>
      </c>
      <c r="K109" s="463">
        <v>5</v>
      </c>
      <c r="L109" s="463">
        <v>5</v>
      </c>
      <c r="O109" s="4"/>
      <c r="P109" s="4"/>
      <c r="Q109" s="4"/>
      <c r="R109" s="4"/>
      <c r="S109" s="4"/>
    </row>
    <row r="110" spans="1:19" x14ac:dyDescent="0.25">
      <c r="A110" s="170" t="s">
        <v>361</v>
      </c>
      <c r="B110" s="170" t="s">
        <v>510</v>
      </c>
      <c r="C110" s="199" t="s">
        <v>215</v>
      </c>
      <c r="D110" s="209">
        <v>239</v>
      </c>
      <c r="E110" s="472">
        <v>400</v>
      </c>
      <c r="F110" s="472">
        <v>200</v>
      </c>
      <c r="G110" s="472">
        <v>600</v>
      </c>
      <c r="H110" s="469">
        <f>+E110/D110</f>
        <v>1.6736401673640167</v>
      </c>
      <c r="I110" s="469">
        <f t="shared" ref="I110:I111" si="18">+G110/D110</f>
        <v>2.510460251046025</v>
      </c>
      <c r="J110" s="175" t="s">
        <v>227</v>
      </c>
      <c r="K110" s="276" t="s">
        <v>227</v>
      </c>
      <c r="L110" s="276" t="s">
        <v>224</v>
      </c>
    </row>
    <row r="111" spans="1:19" x14ac:dyDescent="0.25">
      <c r="A111" s="170" t="s">
        <v>417</v>
      </c>
      <c r="B111" s="170" t="s">
        <v>245</v>
      </c>
      <c r="C111" s="199" t="s">
        <v>215</v>
      </c>
      <c r="D111" s="209">
        <v>469</v>
      </c>
      <c r="E111" s="472">
        <v>10500</v>
      </c>
      <c r="F111" s="495">
        <v>0</v>
      </c>
      <c r="G111" s="472">
        <v>10500</v>
      </c>
      <c r="H111" s="474">
        <f>+E111/D111</f>
        <v>22.388059701492537</v>
      </c>
      <c r="I111" s="474">
        <f t="shared" si="18"/>
        <v>22.388059701492537</v>
      </c>
      <c r="J111" s="175" t="s">
        <v>480</v>
      </c>
      <c r="K111" s="274" t="s">
        <v>227</v>
      </c>
      <c r="L111" s="274"/>
    </row>
    <row r="112" spans="1:19" x14ac:dyDescent="0.25">
      <c r="A112" s="3" t="s">
        <v>364</v>
      </c>
      <c r="B112" s="3" t="s">
        <v>529</v>
      </c>
      <c r="C112" s="171" t="s">
        <v>215</v>
      </c>
      <c r="D112" s="212">
        <v>178</v>
      </c>
      <c r="E112" s="470" t="s">
        <v>233</v>
      </c>
      <c r="F112" s="470" t="s">
        <v>233</v>
      </c>
      <c r="G112" s="470" t="s">
        <v>233</v>
      </c>
      <c r="H112" s="470" t="s">
        <v>233</v>
      </c>
      <c r="I112" s="470" t="s">
        <v>233</v>
      </c>
      <c r="J112" s="219" t="s">
        <v>233</v>
      </c>
      <c r="K112" s="219" t="s">
        <v>233</v>
      </c>
      <c r="L112" s="219" t="s">
        <v>233</v>
      </c>
    </row>
    <row r="113" spans="1:12" x14ac:dyDescent="0.25">
      <c r="A113" s="170" t="s">
        <v>364</v>
      </c>
      <c r="B113" s="170" t="s">
        <v>511</v>
      </c>
      <c r="C113" s="199" t="s">
        <v>215</v>
      </c>
      <c r="D113" s="209">
        <v>176</v>
      </c>
      <c r="E113" s="472">
        <v>4500</v>
      </c>
      <c r="F113" s="472">
        <v>0</v>
      </c>
      <c r="G113" s="472">
        <v>4500</v>
      </c>
      <c r="H113" s="474">
        <f>+E113/D113</f>
        <v>25.568181818181817</v>
      </c>
      <c r="I113" s="474">
        <f>+G113/D113</f>
        <v>25.568181818181817</v>
      </c>
      <c r="J113" s="175" t="s">
        <v>227</v>
      </c>
      <c r="K113" s="274" t="s">
        <v>224</v>
      </c>
      <c r="L113" s="274"/>
    </row>
    <row r="114" spans="1:12" x14ac:dyDescent="0.25">
      <c r="A114" s="170" t="s">
        <v>485</v>
      </c>
      <c r="B114" s="170" t="s">
        <v>481</v>
      </c>
      <c r="C114" s="199" t="s">
        <v>215</v>
      </c>
      <c r="D114" s="209">
        <v>619</v>
      </c>
      <c r="E114" s="472">
        <v>14400</v>
      </c>
      <c r="F114" s="472">
        <v>1250</v>
      </c>
      <c r="G114" s="472">
        <v>15650</v>
      </c>
      <c r="H114" s="474">
        <f>+E114/D114</f>
        <v>23.263327948303715</v>
      </c>
      <c r="I114" s="474">
        <f>+G114/D114</f>
        <v>25.2827140549273</v>
      </c>
      <c r="J114" s="175" t="s">
        <v>480</v>
      </c>
      <c r="K114" s="274"/>
      <c r="L114" s="274"/>
    </row>
    <row r="115" spans="1:12" x14ac:dyDescent="0.25">
      <c r="A115" s="170" t="s">
        <v>257</v>
      </c>
      <c r="B115" s="170" t="s">
        <v>482</v>
      </c>
      <c r="C115" s="199" t="s">
        <v>215</v>
      </c>
      <c r="D115" s="209">
        <v>26</v>
      </c>
      <c r="E115" s="472">
        <v>0</v>
      </c>
      <c r="F115" s="495">
        <v>0</v>
      </c>
      <c r="G115" s="472">
        <v>0</v>
      </c>
      <c r="H115" s="474">
        <f>+E115/D115</f>
        <v>0</v>
      </c>
      <c r="I115" s="474">
        <f>+G115/D115</f>
        <v>0</v>
      </c>
      <c r="J115" s="175" t="s">
        <v>227</v>
      </c>
      <c r="K115" s="274" t="s">
        <v>224</v>
      </c>
      <c r="L115" s="274"/>
    </row>
    <row r="116" spans="1:12" x14ac:dyDescent="0.25">
      <c r="A116" s="170" t="s">
        <v>166</v>
      </c>
      <c r="B116" s="170" t="s">
        <v>246</v>
      </c>
      <c r="C116" s="199" t="s">
        <v>215</v>
      </c>
      <c r="D116" s="209">
        <v>519</v>
      </c>
      <c r="E116" s="470" t="s">
        <v>233</v>
      </c>
      <c r="F116" s="470" t="s">
        <v>233</v>
      </c>
      <c r="G116" s="470" t="s">
        <v>233</v>
      </c>
      <c r="H116" s="470" t="s">
        <v>233</v>
      </c>
      <c r="I116" s="470" t="s">
        <v>233</v>
      </c>
      <c r="J116" s="219" t="s">
        <v>233</v>
      </c>
      <c r="K116" s="219" t="s">
        <v>233</v>
      </c>
      <c r="L116" s="219" t="s">
        <v>233</v>
      </c>
    </row>
    <row r="117" spans="1:12" x14ac:dyDescent="0.25">
      <c r="A117" s="355"/>
      <c r="B117" s="356"/>
      <c r="C117" s="155" t="s">
        <v>7</v>
      </c>
      <c r="D117" s="262">
        <f>SUM(D110:D116)</f>
        <v>2226</v>
      </c>
      <c r="E117" s="477">
        <f>SUM(E110:E116)</f>
        <v>29800</v>
      </c>
      <c r="F117" s="477">
        <f>SUM(F110:F116)</f>
        <v>1450</v>
      </c>
      <c r="G117" s="477">
        <f>SUM(G110:G116)</f>
        <v>31250</v>
      </c>
      <c r="H117" s="478"/>
      <c r="I117" s="478"/>
      <c r="J117" s="342">
        <v>2</v>
      </c>
      <c r="K117" s="342">
        <v>2</v>
      </c>
      <c r="L117" s="342">
        <v>1</v>
      </c>
    </row>
    <row r="118" spans="1:12" x14ac:dyDescent="0.25">
      <c r="A118" s="358"/>
      <c r="B118" s="359"/>
      <c r="C118" s="360" t="s">
        <v>8</v>
      </c>
      <c r="D118" s="262">
        <f t="shared" ref="D118:I118" si="19">AVERAGE(D110:D116)</f>
        <v>318</v>
      </c>
      <c r="E118" s="477">
        <f t="shared" si="19"/>
        <v>5960</v>
      </c>
      <c r="F118" s="477">
        <f t="shared" si="19"/>
        <v>290</v>
      </c>
      <c r="G118" s="477">
        <f t="shared" si="19"/>
        <v>6250</v>
      </c>
      <c r="H118" s="478">
        <f t="shared" si="19"/>
        <v>14.578641927068418</v>
      </c>
      <c r="I118" s="478">
        <f t="shared" si="19"/>
        <v>15.149883165129534</v>
      </c>
      <c r="J118" s="459"/>
      <c r="K118" s="459"/>
      <c r="L118" s="459"/>
    </row>
    <row r="119" spans="1:12" x14ac:dyDescent="0.25">
      <c r="A119" s="358"/>
      <c r="B119" s="359"/>
      <c r="C119" s="360" t="s">
        <v>9</v>
      </c>
      <c r="D119" s="262">
        <f t="shared" ref="D119:I119" si="20">MEDIAN(D110:D116)</f>
        <v>239</v>
      </c>
      <c r="E119" s="477">
        <f t="shared" si="20"/>
        <v>4500</v>
      </c>
      <c r="F119" s="477">
        <f t="shared" si="20"/>
        <v>0</v>
      </c>
      <c r="G119" s="477">
        <f t="shared" si="20"/>
        <v>4500</v>
      </c>
      <c r="H119" s="478">
        <f t="shared" si="20"/>
        <v>22.388059701492537</v>
      </c>
      <c r="I119" s="478">
        <f t="shared" si="20"/>
        <v>22.388059701492537</v>
      </c>
      <c r="J119" s="459"/>
      <c r="K119" s="459"/>
      <c r="L119" s="459"/>
    </row>
    <row r="120" spans="1:12" x14ac:dyDescent="0.25">
      <c r="A120" s="361"/>
      <c r="B120" s="362"/>
      <c r="C120" s="360" t="s">
        <v>30</v>
      </c>
      <c r="D120" s="363"/>
      <c r="E120" s="477"/>
      <c r="F120" s="477"/>
      <c r="G120" s="477"/>
      <c r="H120" s="478"/>
      <c r="I120" s="478"/>
      <c r="J120" s="479">
        <f>+J117/J109</f>
        <v>0.4</v>
      </c>
      <c r="K120" s="479">
        <f>+K117/K109</f>
        <v>0.4</v>
      </c>
      <c r="L120" s="479">
        <f>+L117/L109</f>
        <v>0.2</v>
      </c>
    </row>
    <row r="121" spans="1:12" x14ac:dyDescent="0.25">
      <c r="A121" s="480"/>
      <c r="B121" s="150"/>
      <c r="C121" s="481"/>
      <c r="D121" s="482"/>
      <c r="E121" s="483"/>
      <c r="F121" s="483"/>
      <c r="G121" s="483"/>
      <c r="H121" s="484"/>
      <c r="I121" s="484"/>
      <c r="J121" s="480"/>
      <c r="K121" s="480"/>
      <c r="L121" s="480"/>
    </row>
    <row r="122" spans="1:12" x14ac:dyDescent="0.25">
      <c r="A122" s="480"/>
      <c r="B122" s="150"/>
      <c r="C122" s="481"/>
      <c r="D122" s="482"/>
      <c r="E122" s="483"/>
      <c r="F122" s="483"/>
      <c r="G122" s="483"/>
      <c r="H122" s="484"/>
      <c r="I122" s="484"/>
      <c r="J122" s="480"/>
      <c r="K122" s="480"/>
      <c r="L122" s="480"/>
    </row>
    <row r="123" spans="1:12" s="161" customFormat="1" ht="15" customHeight="1" x14ac:dyDescent="0.2">
      <c r="A123" s="439" t="s">
        <v>672</v>
      </c>
      <c r="B123" s="440"/>
      <c r="C123" s="440"/>
      <c r="D123" s="441"/>
      <c r="E123" s="442"/>
      <c r="F123" s="443"/>
      <c r="G123" s="444"/>
      <c r="H123" s="445"/>
      <c r="I123" s="445"/>
      <c r="J123" s="446"/>
      <c r="K123" s="446"/>
      <c r="L123" s="447"/>
    </row>
    <row r="124" spans="1:12" s="74" customFormat="1" ht="12.75" customHeight="1" x14ac:dyDescent="0.25">
      <c r="A124" s="448"/>
      <c r="B124" s="449"/>
      <c r="C124" s="449"/>
      <c r="D124" s="450"/>
      <c r="E124" s="413" t="s">
        <v>43</v>
      </c>
      <c r="F124" s="399"/>
      <c r="G124" s="400"/>
      <c r="H124" s="451" t="s">
        <v>46</v>
      </c>
      <c r="I124" s="452"/>
      <c r="J124" s="453" t="s">
        <v>47</v>
      </c>
      <c r="K124" s="454"/>
      <c r="L124" s="454"/>
    </row>
    <row r="125" spans="1:12" s="74" customFormat="1" ht="25.5" x14ac:dyDescent="0.2">
      <c r="A125" s="455" t="s">
        <v>11</v>
      </c>
      <c r="B125" s="455" t="s">
        <v>12</v>
      </c>
      <c r="C125" s="455" t="s">
        <v>2</v>
      </c>
      <c r="D125" s="456" t="s">
        <v>5</v>
      </c>
      <c r="E125" s="457" t="s">
        <v>54</v>
      </c>
      <c r="F125" s="457" t="s">
        <v>49</v>
      </c>
      <c r="G125" s="457" t="s">
        <v>55</v>
      </c>
      <c r="H125" s="458" t="s">
        <v>48</v>
      </c>
      <c r="I125" s="458" t="s">
        <v>51</v>
      </c>
      <c r="J125" s="459" t="s">
        <v>52</v>
      </c>
      <c r="K125" s="460" t="s">
        <v>53</v>
      </c>
      <c r="L125" s="460" t="s">
        <v>1</v>
      </c>
    </row>
    <row r="126" spans="1:12" s="74" customFormat="1" x14ac:dyDescent="0.25">
      <c r="A126" s="461" t="s">
        <v>56</v>
      </c>
      <c r="B126" s="462"/>
      <c r="C126" s="293"/>
      <c r="D126" s="463">
        <v>62</v>
      </c>
      <c r="E126" s="463">
        <v>55</v>
      </c>
      <c r="F126" s="463">
        <v>55</v>
      </c>
      <c r="G126" s="463">
        <v>55</v>
      </c>
      <c r="H126" s="463">
        <v>55</v>
      </c>
      <c r="I126" s="463">
        <v>55</v>
      </c>
      <c r="J126" s="463">
        <v>56</v>
      </c>
      <c r="K126" s="463">
        <v>56</v>
      </c>
      <c r="L126" s="463">
        <v>56</v>
      </c>
    </row>
    <row r="127" spans="1:12" x14ac:dyDescent="0.25">
      <c r="A127" s="170" t="s">
        <v>361</v>
      </c>
      <c r="B127" s="170" t="s">
        <v>321</v>
      </c>
      <c r="C127" s="199" t="s">
        <v>216</v>
      </c>
      <c r="D127" s="200">
        <v>14</v>
      </c>
      <c r="E127" s="472">
        <v>800</v>
      </c>
      <c r="F127" s="473">
        <v>0</v>
      </c>
      <c r="G127" s="472">
        <v>800</v>
      </c>
      <c r="H127" s="493">
        <f>+E127/D127</f>
        <v>57.142857142857146</v>
      </c>
      <c r="I127" s="493">
        <f>+G127/D127</f>
        <v>57.142857142857146</v>
      </c>
      <c r="J127" s="175" t="s">
        <v>227</v>
      </c>
      <c r="K127" s="175" t="s">
        <v>224</v>
      </c>
      <c r="L127" s="175" t="s">
        <v>227</v>
      </c>
    </row>
    <row r="128" spans="1:12" x14ac:dyDescent="0.25">
      <c r="A128" s="170" t="s">
        <v>361</v>
      </c>
      <c r="B128" s="170" t="s">
        <v>512</v>
      </c>
      <c r="C128" s="199" t="s">
        <v>216</v>
      </c>
      <c r="D128" s="200">
        <v>257</v>
      </c>
      <c r="E128" s="472">
        <v>600</v>
      </c>
      <c r="F128" s="473">
        <v>0</v>
      </c>
      <c r="G128" s="472">
        <v>600</v>
      </c>
      <c r="H128" s="493">
        <f>+E128/D128</f>
        <v>2.3346303501945527</v>
      </c>
      <c r="I128" s="493">
        <f>+G128/D128</f>
        <v>2.3346303501945527</v>
      </c>
      <c r="J128" s="175" t="s">
        <v>480</v>
      </c>
      <c r="K128" s="175" t="s">
        <v>227</v>
      </c>
      <c r="L128" s="175" t="s">
        <v>227</v>
      </c>
    </row>
    <row r="129" spans="1:12" x14ac:dyDescent="0.25">
      <c r="A129" s="170" t="s">
        <v>361</v>
      </c>
      <c r="B129" s="170" t="s">
        <v>262</v>
      </c>
      <c r="C129" s="199" t="s">
        <v>216</v>
      </c>
      <c r="D129" s="200">
        <v>249</v>
      </c>
      <c r="E129" s="472">
        <v>1200</v>
      </c>
      <c r="F129" s="473">
        <v>0</v>
      </c>
      <c r="G129" s="472">
        <v>1200</v>
      </c>
      <c r="H129" s="493">
        <f t="shared" ref="H129:H139" si="21">+E129/D129</f>
        <v>4.8192771084337354</v>
      </c>
      <c r="I129" s="493">
        <f t="shared" ref="I129:I139" si="22">+G129/D129</f>
        <v>4.8192771084337354</v>
      </c>
      <c r="J129" s="175" t="s">
        <v>227</v>
      </c>
      <c r="K129" s="175" t="s">
        <v>224</v>
      </c>
      <c r="L129" s="175" t="s">
        <v>227</v>
      </c>
    </row>
    <row r="130" spans="1:12" x14ac:dyDescent="0.25">
      <c r="A130" s="170" t="s">
        <v>180</v>
      </c>
      <c r="B130" s="170" t="s">
        <v>263</v>
      </c>
      <c r="C130" s="199" t="s">
        <v>216</v>
      </c>
      <c r="D130" s="200">
        <v>389</v>
      </c>
      <c r="E130" s="472">
        <v>5100</v>
      </c>
      <c r="F130" s="472">
        <v>0</v>
      </c>
      <c r="G130" s="472">
        <v>5100</v>
      </c>
      <c r="H130" s="493">
        <f t="shared" si="21"/>
        <v>13.110539845758355</v>
      </c>
      <c r="I130" s="493">
        <f t="shared" si="22"/>
        <v>13.110539845758355</v>
      </c>
      <c r="J130" s="175" t="s">
        <v>480</v>
      </c>
      <c r="K130" s="175" t="s">
        <v>227</v>
      </c>
      <c r="L130" s="175" t="s">
        <v>227</v>
      </c>
    </row>
    <row r="131" spans="1:12" x14ac:dyDescent="0.25">
      <c r="A131" s="170" t="s">
        <v>163</v>
      </c>
      <c r="B131" s="170" t="s">
        <v>513</v>
      </c>
      <c r="C131" s="199" t="s">
        <v>216</v>
      </c>
      <c r="D131" s="200">
        <v>345</v>
      </c>
      <c r="E131" s="472">
        <v>5250</v>
      </c>
      <c r="F131" s="472">
        <v>0</v>
      </c>
      <c r="G131" s="472">
        <v>5250</v>
      </c>
      <c r="H131" s="493">
        <f t="shared" si="21"/>
        <v>15.217391304347826</v>
      </c>
      <c r="I131" s="493">
        <f t="shared" si="22"/>
        <v>15.217391304347826</v>
      </c>
      <c r="J131" s="175" t="s">
        <v>480</v>
      </c>
      <c r="K131" s="175" t="s">
        <v>227</v>
      </c>
      <c r="L131" s="175" t="s">
        <v>227</v>
      </c>
    </row>
    <row r="132" spans="1:12" x14ac:dyDescent="0.25">
      <c r="A132" s="170" t="s">
        <v>362</v>
      </c>
      <c r="B132" s="170" t="s">
        <v>322</v>
      </c>
      <c r="C132" s="199" t="s">
        <v>217</v>
      </c>
      <c r="D132" s="200">
        <v>424</v>
      </c>
      <c r="E132" s="472">
        <v>3700</v>
      </c>
      <c r="F132" s="472">
        <v>0</v>
      </c>
      <c r="G132" s="472">
        <v>3700</v>
      </c>
      <c r="H132" s="493">
        <f t="shared" si="21"/>
        <v>8.7264150943396235</v>
      </c>
      <c r="I132" s="493">
        <f t="shared" si="22"/>
        <v>8.7264150943396235</v>
      </c>
      <c r="J132" s="175" t="s">
        <v>227</v>
      </c>
      <c r="K132" s="175" t="s">
        <v>224</v>
      </c>
      <c r="L132" s="175" t="s">
        <v>227</v>
      </c>
    </row>
    <row r="133" spans="1:12" x14ac:dyDescent="0.25">
      <c r="A133" s="170" t="s">
        <v>362</v>
      </c>
      <c r="B133" s="170" t="s">
        <v>264</v>
      </c>
      <c r="C133" s="199" t="s">
        <v>217</v>
      </c>
      <c r="D133" s="200">
        <v>381</v>
      </c>
      <c r="E133" s="472">
        <v>3500</v>
      </c>
      <c r="F133" s="472">
        <v>0</v>
      </c>
      <c r="G133" s="472">
        <v>3500</v>
      </c>
      <c r="H133" s="493">
        <f t="shared" si="21"/>
        <v>9.1863517060367457</v>
      </c>
      <c r="I133" s="493">
        <f t="shared" si="22"/>
        <v>9.1863517060367457</v>
      </c>
      <c r="J133" s="175" t="s">
        <v>227</v>
      </c>
      <c r="K133" s="175" t="s">
        <v>224</v>
      </c>
      <c r="L133" s="175" t="s">
        <v>227</v>
      </c>
    </row>
    <row r="134" spans="1:12" x14ac:dyDescent="0.25">
      <c r="A134" s="170" t="s">
        <v>362</v>
      </c>
      <c r="B134" s="170" t="s">
        <v>514</v>
      </c>
      <c r="C134" s="199" t="s">
        <v>217</v>
      </c>
      <c r="D134" s="200">
        <v>199</v>
      </c>
      <c r="E134" s="472">
        <v>2500</v>
      </c>
      <c r="F134" s="472">
        <v>0</v>
      </c>
      <c r="G134" s="472">
        <v>2500</v>
      </c>
      <c r="H134" s="493">
        <f t="shared" si="21"/>
        <v>12.562814070351759</v>
      </c>
      <c r="I134" s="493">
        <f t="shared" si="22"/>
        <v>12.562814070351759</v>
      </c>
      <c r="J134" s="175" t="s">
        <v>227</v>
      </c>
      <c r="K134" s="175" t="s">
        <v>227</v>
      </c>
      <c r="L134" s="175" t="s">
        <v>224</v>
      </c>
    </row>
    <row r="135" spans="1:12" x14ac:dyDescent="0.25">
      <c r="A135" s="170" t="s">
        <v>362</v>
      </c>
      <c r="B135" s="170" t="s">
        <v>323</v>
      </c>
      <c r="C135" s="199" t="s">
        <v>217</v>
      </c>
      <c r="D135" s="200">
        <v>210</v>
      </c>
      <c r="E135" s="470" t="s">
        <v>233</v>
      </c>
      <c r="F135" s="470" t="s">
        <v>233</v>
      </c>
      <c r="G135" s="470" t="s">
        <v>233</v>
      </c>
      <c r="H135" s="471" t="s">
        <v>233</v>
      </c>
      <c r="I135" s="471" t="s">
        <v>233</v>
      </c>
      <c r="J135" s="175" t="s">
        <v>227</v>
      </c>
      <c r="K135" s="175" t="s">
        <v>224</v>
      </c>
      <c r="L135" s="175" t="s">
        <v>227</v>
      </c>
    </row>
    <row r="136" spans="1:12" x14ac:dyDescent="0.25">
      <c r="A136" s="170" t="s">
        <v>362</v>
      </c>
      <c r="B136" s="170" t="s">
        <v>265</v>
      </c>
      <c r="C136" s="199" t="s">
        <v>217</v>
      </c>
      <c r="D136" s="200">
        <v>323</v>
      </c>
      <c r="E136" s="472">
        <v>3000</v>
      </c>
      <c r="F136" s="472">
        <v>0</v>
      </c>
      <c r="G136" s="472">
        <v>3000</v>
      </c>
      <c r="H136" s="493">
        <f t="shared" si="21"/>
        <v>9.2879256965944279</v>
      </c>
      <c r="I136" s="493">
        <f t="shared" si="22"/>
        <v>9.2879256965944279</v>
      </c>
      <c r="J136" s="175" t="s">
        <v>227</v>
      </c>
      <c r="K136" s="175" t="s">
        <v>224</v>
      </c>
      <c r="L136" s="175" t="s">
        <v>227</v>
      </c>
    </row>
    <row r="137" spans="1:12" x14ac:dyDescent="0.25">
      <c r="A137" s="170" t="s">
        <v>362</v>
      </c>
      <c r="B137" s="170" t="s">
        <v>324</v>
      </c>
      <c r="C137" s="199" t="s">
        <v>217</v>
      </c>
      <c r="D137" s="200">
        <v>302</v>
      </c>
      <c r="E137" s="472">
        <v>3000</v>
      </c>
      <c r="F137" s="472">
        <v>0</v>
      </c>
      <c r="G137" s="472">
        <v>3000</v>
      </c>
      <c r="H137" s="493">
        <f t="shared" si="21"/>
        <v>9.9337748344370862</v>
      </c>
      <c r="I137" s="493">
        <f t="shared" si="22"/>
        <v>9.9337748344370862</v>
      </c>
      <c r="J137" s="175" t="s">
        <v>227</v>
      </c>
      <c r="K137" s="175" t="s">
        <v>227</v>
      </c>
      <c r="L137" s="175" t="s">
        <v>224</v>
      </c>
    </row>
    <row r="138" spans="1:12" x14ac:dyDescent="0.25">
      <c r="A138" s="170" t="s">
        <v>362</v>
      </c>
      <c r="B138" s="170" t="s">
        <v>515</v>
      </c>
      <c r="C138" s="199" t="s">
        <v>272</v>
      </c>
      <c r="D138" s="200">
        <v>260</v>
      </c>
      <c r="E138" s="472">
        <v>3500</v>
      </c>
      <c r="F138" s="472">
        <v>0</v>
      </c>
      <c r="G138" s="472">
        <v>3500</v>
      </c>
      <c r="H138" s="473">
        <f t="shared" si="21"/>
        <v>13.461538461538462</v>
      </c>
      <c r="I138" s="473">
        <f t="shared" si="22"/>
        <v>13.461538461538462</v>
      </c>
      <c r="J138" s="175" t="s">
        <v>227</v>
      </c>
      <c r="K138" s="175" t="s">
        <v>224</v>
      </c>
      <c r="L138" s="175" t="s">
        <v>227</v>
      </c>
    </row>
    <row r="139" spans="1:12" x14ac:dyDescent="0.25">
      <c r="A139" s="170" t="s">
        <v>362</v>
      </c>
      <c r="B139" s="170" t="s">
        <v>266</v>
      </c>
      <c r="C139" s="199" t="s">
        <v>217</v>
      </c>
      <c r="D139" s="200">
        <v>389</v>
      </c>
      <c r="E139" s="472">
        <v>3848</v>
      </c>
      <c r="F139" s="472">
        <v>750</v>
      </c>
      <c r="G139" s="472">
        <v>4598</v>
      </c>
      <c r="H139" s="473">
        <f t="shared" si="21"/>
        <v>9.892030848329048</v>
      </c>
      <c r="I139" s="473">
        <f t="shared" si="22"/>
        <v>11.820051413881748</v>
      </c>
      <c r="J139" s="175" t="s">
        <v>227</v>
      </c>
      <c r="K139" s="175" t="s">
        <v>227</v>
      </c>
      <c r="L139" s="175" t="s">
        <v>224</v>
      </c>
    </row>
    <row r="140" spans="1:12" x14ac:dyDescent="0.25">
      <c r="A140" s="170" t="s">
        <v>157</v>
      </c>
      <c r="B140" s="170" t="s">
        <v>516</v>
      </c>
      <c r="C140" s="199" t="s">
        <v>217</v>
      </c>
      <c r="D140" s="200">
        <v>4</v>
      </c>
      <c r="E140" s="472">
        <v>0</v>
      </c>
      <c r="F140" s="472">
        <v>0</v>
      </c>
      <c r="G140" s="472">
        <v>0</v>
      </c>
      <c r="H140" s="473">
        <f>+E140/D140</f>
        <v>0</v>
      </c>
      <c r="I140" s="473">
        <f>+G140/D140</f>
        <v>0</v>
      </c>
      <c r="J140" s="175" t="s">
        <v>227</v>
      </c>
      <c r="K140" s="175" t="s">
        <v>227</v>
      </c>
      <c r="L140" s="175" t="s">
        <v>224</v>
      </c>
    </row>
    <row r="141" spans="1:12" x14ac:dyDescent="0.25">
      <c r="A141" s="170" t="s">
        <v>157</v>
      </c>
      <c r="B141" s="170" t="s">
        <v>517</v>
      </c>
      <c r="C141" s="199" t="s">
        <v>217</v>
      </c>
      <c r="D141" s="200">
        <v>61</v>
      </c>
      <c r="E141" s="472">
        <v>0</v>
      </c>
      <c r="F141" s="472">
        <v>0</v>
      </c>
      <c r="G141" s="472">
        <v>0</v>
      </c>
      <c r="H141" s="473">
        <f t="shared" ref="H141:H188" si="23">+E141/D141</f>
        <v>0</v>
      </c>
      <c r="I141" s="473">
        <f t="shared" ref="I141:I188" si="24">+G141/D141</f>
        <v>0</v>
      </c>
      <c r="J141" s="175" t="s">
        <v>227</v>
      </c>
      <c r="K141" s="175" t="s">
        <v>227</v>
      </c>
      <c r="L141" s="175" t="s">
        <v>224</v>
      </c>
    </row>
    <row r="142" spans="1:12" x14ac:dyDescent="0.25">
      <c r="A142" s="170" t="s">
        <v>157</v>
      </c>
      <c r="B142" s="170" t="s">
        <v>518</v>
      </c>
      <c r="C142" s="171" t="s">
        <v>217</v>
      </c>
      <c r="D142" s="200">
        <v>12</v>
      </c>
      <c r="E142" s="472">
        <v>0</v>
      </c>
      <c r="F142" s="472">
        <v>0</v>
      </c>
      <c r="G142" s="472">
        <v>0</v>
      </c>
      <c r="H142" s="473">
        <f t="shared" si="23"/>
        <v>0</v>
      </c>
      <c r="I142" s="473">
        <f t="shared" si="24"/>
        <v>0</v>
      </c>
      <c r="J142" s="175" t="s">
        <v>227</v>
      </c>
      <c r="K142" s="175" t="s">
        <v>227</v>
      </c>
      <c r="L142" s="175" t="s">
        <v>224</v>
      </c>
    </row>
    <row r="143" spans="1:12" x14ac:dyDescent="0.25">
      <c r="A143" s="170" t="s">
        <v>182</v>
      </c>
      <c r="B143" s="170" t="s">
        <v>519</v>
      </c>
      <c r="C143" s="171" t="s">
        <v>275</v>
      </c>
      <c r="D143" s="200">
        <v>253</v>
      </c>
      <c r="E143" s="470" t="s">
        <v>233</v>
      </c>
      <c r="F143" s="470" t="s">
        <v>233</v>
      </c>
      <c r="G143" s="470" t="s">
        <v>233</v>
      </c>
      <c r="H143" s="470" t="s">
        <v>233</v>
      </c>
      <c r="I143" s="470" t="s">
        <v>233</v>
      </c>
      <c r="J143" s="219" t="s">
        <v>233</v>
      </c>
      <c r="K143" s="219" t="s">
        <v>233</v>
      </c>
      <c r="L143" s="219" t="s">
        <v>233</v>
      </c>
    </row>
    <row r="144" spans="1:12" x14ac:dyDescent="0.25">
      <c r="A144" s="170" t="s">
        <v>159</v>
      </c>
      <c r="B144" s="170" t="s">
        <v>267</v>
      </c>
      <c r="C144" s="171" t="s">
        <v>273</v>
      </c>
      <c r="D144" s="200">
        <v>236</v>
      </c>
      <c r="E144" s="472">
        <v>5500</v>
      </c>
      <c r="F144" s="472">
        <v>500</v>
      </c>
      <c r="G144" s="472">
        <v>6000</v>
      </c>
      <c r="H144" s="473">
        <f t="shared" si="23"/>
        <v>23.305084745762713</v>
      </c>
      <c r="I144" s="473">
        <f t="shared" si="24"/>
        <v>25.423728813559322</v>
      </c>
      <c r="J144" s="175" t="s">
        <v>227</v>
      </c>
      <c r="K144" s="175" t="s">
        <v>224</v>
      </c>
      <c r="L144" s="175" t="s">
        <v>227</v>
      </c>
    </row>
    <row r="145" spans="1:12" x14ac:dyDescent="0.25">
      <c r="A145" s="170" t="s">
        <v>168</v>
      </c>
      <c r="B145" s="170" t="s">
        <v>520</v>
      </c>
      <c r="C145" s="171" t="s">
        <v>274</v>
      </c>
      <c r="D145" s="200">
        <v>151</v>
      </c>
      <c r="E145" s="473">
        <v>3000</v>
      </c>
      <c r="F145" s="473">
        <v>0</v>
      </c>
      <c r="G145" s="472">
        <v>3000</v>
      </c>
      <c r="H145" s="473">
        <f t="shared" si="23"/>
        <v>19.867549668874172</v>
      </c>
      <c r="I145" s="473">
        <f t="shared" si="24"/>
        <v>19.867549668874172</v>
      </c>
      <c r="J145" s="175" t="s">
        <v>227</v>
      </c>
      <c r="K145" s="175" t="s">
        <v>224</v>
      </c>
      <c r="L145" s="175" t="s">
        <v>227</v>
      </c>
    </row>
    <row r="146" spans="1:12" x14ac:dyDescent="0.25">
      <c r="A146" s="170" t="s">
        <v>168</v>
      </c>
      <c r="B146" s="170" t="s">
        <v>268</v>
      </c>
      <c r="C146" s="171" t="s">
        <v>274</v>
      </c>
      <c r="D146" s="200">
        <v>208</v>
      </c>
      <c r="E146" s="470" t="s">
        <v>233</v>
      </c>
      <c r="F146" s="470" t="s">
        <v>233</v>
      </c>
      <c r="G146" s="470" t="s">
        <v>233</v>
      </c>
      <c r="H146" s="470" t="s">
        <v>233</v>
      </c>
      <c r="I146" s="470" t="s">
        <v>233</v>
      </c>
      <c r="J146" s="175" t="s">
        <v>227</v>
      </c>
      <c r="K146" s="175" t="s">
        <v>224</v>
      </c>
      <c r="L146" s="175" t="s">
        <v>227</v>
      </c>
    </row>
    <row r="147" spans="1:12" x14ac:dyDescent="0.25">
      <c r="A147" s="170" t="s">
        <v>148</v>
      </c>
      <c r="B147" s="170" t="s">
        <v>249</v>
      </c>
      <c r="C147" s="171" t="s">
        <v>217</v>
      </c>
      <c r="D147" s="200">
        <v>388</v>
      </c>
      <c r="E147" s="472">
        <v>9000</v>
      </c>
      <c r="F147" s="472">
        <v>0</v>
      </c>
      <c r="G147" s="472">
        <v>9000</v>
      </c>
      <c r="H147" s="473">
        <f>+E147/D147</f>
        <v>23.195876288659793</v>
      </c>
      <c r="I147" s="473">
        <f>+G147/D147</f>
        <v>23.195876288659793</v>
      </c>
      <c r="J147" s="175" t="s">
        <v>480</v>
      </c>
      <c r="K147" s="175" t="s">
        <v>227</v>
      </c>
      <c r="L147" s="175" t="s">
        <v>227</v>
      </c>
    </row>
    <row r="148" spans="1:12" x14ac:dyDescent="0.25">
      <c r="A148" s="170" t="s">
        <v>148</v>
      </c>
      <c r="B148" s="170" t="s">
        <v>521</v>
      </c>
      <c r="C148" s="171" t="s">
        <v>217</v>
      </c>
      <c r="D148" s="200">
        <v>312</v>
      </c>
      <c r="E148" s="472">
        <v>0</v>
      </c>
      <c r="F148" s="472">
        <v>0</v>
      </c>
      <c r="G148" s="472">
        <v>0</v>
      </c>
      <c r="H148" s="473">
        <f t="shared" si="23"/>
        <v>0</v>
      </c>
      <c r="I148" s="473">
        <f t="shared" si="24"/>
        <v>0</v>
      </c>
      <c r="J148" s="175" t="s">
        <v>227</v>
      </c>
      <c r="K148" s="175" t="s">
        <v>227</v>
      </c>
      <c r="L148" s="175" t="s">
        <v>224</v>
      </c>
    </row>
    <row r="149" spans="1:12" x14ac:dyDescent="0.25">
      <c r="A149" s="170" t="s">
        <v>148</v>
      </c>
      <c r="B149" s="170" t="s">
        <v>325</v>
      </c>
      <c r="C149" s="171" t="s">
        <v>217</v>
      </c>
      <c r="D149" s="200">
        <v>164</v>
      </c>
      <c r="E149" s="470" t="s">
        <v>233</v>
      </c>
      <c r="F149" s="470" t="s">
        <v>233</v>
      </c>
      <c r="G149" s="470" t="s">
        <v>233</v>
      </c>
      <c r="H149" s="470" t="s">
        <v>233</v>
      </c>
      <c r="I149" s="470" t="s">
        <v>233</v>
      </c>
      <c r="J149" s="175" t="s">
        <v>480</v>
      </c>
      <c r="K149" s="175" t="s">
        <v>227</v>
      </c>
      <c r="L149" s="175" t="s">
        <v>227</v>
      </c>
    </row>
    <row r="150" spans="1:12" x14ac:dyDescent="0.25">
      <c r="A150" s="170" t="s">
        <v>148</v>
      </c>
      <c r="B150" s="170" t="s">
        <v>522</v>
      </c>
      <c r="C150" s="199" t="s">
        <v>217</v>
      </c>
      <c r="D150" s="200">
        <v>354</v>
      </c>
      <c r="E150" s="472">
        <v>1000</v>
      </c>
      <c r="F150" s="472">
        <v>0</v>
      </c>
      <c r="G150" s="472">
        <v>1000</v>
      </c>
      <c r="H150" s="473">
        <f>+E150/D150</f>
        <v>2.8248587570621471</v>
      </c>
      <c r="I150" s="473">
        <f>+G150/D150</f>
        <v>2.8248587570621471</v>
      </c>
      <c r="J150" s="175" t="s">
        <v>227</v>
      </c>
      <c r="K150" s="175" t="s">
        <v>227</v>
      </c>
      <c r="L150" s="175" t="s">
        <v>224</v>
      </c>
    </row>
    <row r="151" spans="1:12" x14ac:dyDescent="0.25">
      <c r="A151" s="170" t="s">
        <v>148</v>
      </c>
      <c r="B151" s="170" t="s">
        <v>269</v>
      </c>
      <c r="C151" s="171" t="s">
        <v>222</v>
      </c>
      <c r="D151" s="200">
        <v>102</v>
      </c>
      <c r="E151" s="472">
        <v>700</v>
      </c>
      <c r="F151" s="473">
        <v>0</v>
      </c>
      <c r="G151" s="472">
        <v>700</v>
      </c>
      <c r="H151" s="473">
        <f t="shared" si="23"/>
        <v>6.8627450980392153</v>
      </c>
      <c r="I151" s="473">
        <f t="shared" si="24"/>
        <v>6.8627450980392153</v>
      </c>
      <c r="J151" s="175" t="s">
        <v>227</v>
      </c>
      <c r="K151" s="175" t="s">
        <v>224</v>
      </c>
      <c r="L151" s="175" t="s">
        <v>227</v>
      </c>
    </row>
    <row r="152" spans="1:12" x14ac:dyDescent="0.25">
      <c r="A152" s="170" t="s">
        <v>148</v>
      </c>
      <c r="B152" s="170" t="s">
        <v>523</v>
      </c>
      <c r="C152" s="199" t="s">
        <v>217</v>
      </c>
      <c r="D152" s="200">
        <v>82</v>
      </c>
      <c r="E152" s="470" t="s">
        <v>233</v>
      </c>
      <c r="F152" s="470" t="s">
        <v>233</v>
      </c>
      <c r="G152" s="470" t="s">
        <v>233</v>
      </c>
      <c r="H152" s="470" t="s">
        <v>233</v>
      </c>
      <c r="I152" s="470" t="s">
        <v>233</v>
      </c>
      <c r="J152" s="219" t="s">
        <v>233</v>
      </c>
      <c r="K152" s="219" t="s">
        <v>233</v>
      </c>
      <c r="L152" s="219" t="s">
        <v>233</v>
      </c>
    </row>
    <row r="153" spans="1:12" x14ac:dyDescent="0.25">
      <c r="A153" s="170" t="s">
        <v>148</v>
      </c>
      <c r="B153" s="170" t="s">
        <v>270</v>
      </c>
      <c r="C153" s="171" t="s">
        <v>217</v>
      </c>
      <c r="D153" s="200">
        <v>258</v>
      </c>
      <c r="E153" s="473">
        <v>0</v>
      </c>
      <c r="F153" s="472">
        <v>13000</v>
      </c>
      <c r="G153" s="472">
        <v>500</v>
      </c>
      <c r="H153" s="473">
        <f>+E153/D153</f>
        <v>0</v>
      </c>
      <c r="I153" s="473">
        <f>+G153/D153</f>
        <v>1.9379844961240309</v>
      </c>
      <c r="J153" s="175" t="s">
        <v>227</v>
      </c>
      <c r="K153" s="175" t="s">
        <v>224</v>
      </c>
      <c r="L153" s="175" t="s">
        <v>227</v>
      </c>
    </row>
    <row r="154" spans="1:12" x14ac:dyDescent="0.25">
      <c r="A154" s="170" t="s">
        <v>148</v>
      </c>
      <c r="B154" s="170" t="s">
        <v>524</v>
      </c>
      <c r="C154" s="171" t="s">
        <v>217</v>
      </c>
      <c r="D154" s="200">
        <v>286</v>
      </c>
      <c r="E154" s="470" t="s">
        <v>233</v>
      </c>
      <c r="F154" s="470" t="s">
        <v>233</v>
      </c>
      <c r="G154" s="470" t="s">
        <v>233</v>
      </c>
      <c r="H154" s="470" t="s">
        <v>233</v>
      </c>
      <c r="I154" s="470" t="s">
        <v>233</v>
      </c>
      <c r="J154" s="219" t="s">
        <v>233</v>
      </c>
      <c r="K154" s="219" t="s">
        <v>233</v>
      </c>
      <c r="L154" s="219" t="s">
        <v>233</v>
      </c>
    </row>
    <row r="155" spans="1:12" x14ac:dyDescent="0.25">
      <c r="A155" s="170" t="s">
        <v>148</v>
      </c>
      <c r="B155" s="170" t="s">
        <v>525</v>
      </c>
      <c r="C155" s="171" t="s">
        <v>218</v>
      </c>
      <c r="D155" s="200">
        <v>368</v>
      </c>
      <c r="E155" s="470" t="s">
        <v>233</v>
      </c>
      <c r="F155" s="470" t="s">
        <v>233</v>
      </c>
      <c r="G155" s="470" t="s">
        <v>233</v>
      </c>
      <c r="H155" s="470" t="s">
        <v>233</v>
      </c>
      <c r="I155" s="470" t="s">
        <v>233</v>
      </c>
      <c r="J155" s="175" t="s">
        <v>227</v>
      </c>
      <c r="K155" s="175" t="s">
        <v>224</v>
      </c>
      <c r="L155" s="175" t="s">
        <v>227</v>
      </c>
    </row>
    <row r="156" spans="1:12" x14ac:dyDescent="0.25">
      <c r="A156" s="170" t="s">
        <v>148</v>
      </c>
      <c r="B156" s="170" t="s">
        <v>526</v>
      </c>
      <c r="C156" s="199" t="s">
        <v>217</v>
      </c>
      <c r="D156" s="200">
        <v>344</v>
      </c>
      <c r="E156" s="472">
        <v>400</v>
      </c>
      <c r="F156" s="472">
        <v>0</v>
      </c>
      <c r="G156" s="472">
        <v>400</v>
      </c>
      <c r="H156" s="473">
        <f t="shared" si="23"/>
        <v>1.1627906976744187</v>
      </c>
      <c r="I156" s="473">
        <f t="shared" si="24"/>
        <v>1.1627906976744187</v>
      </c>
      <c r="J156" s="175" t="s">
        <v>227</v>
      </c>
      <c r="K156" s="175" t="s">
        <v>227</v>
      </c>
      <c r="L156" s="175" t="s">
        <v>224</v>
      </c>
    </row>
    <row r="157" spans="1:12" x14ac:dyDescent="0.25">
      <c r="A157" s="170" t="s">
        <v>256</v>
      </c>
      <c r="B157" s="170" t="s">
        <v>527</v>
      </c>
      <c r="C157" s="199" t="s">
        <v>217</v>
      </c>
      <c r="D157" s="200">
        <v>32</v>
      </c>
      <c r="E157" s="473">
        <v>0</v>
      </c>
      <c r="F157" s="473">
        <v>0</v>
      </c>
      <c r="G157" s="472">
        <v>0</v>
      </c>
      <c r="H157" s="473">
        <f t="shared" si="23"/>
        <v>0</v>
      </c>
      <c r="I157" s="473">
        <f t="shared" si="24"/>
        <v>0</v>
      </c>
      <c r="J157" s="219" t="s">
        <v>233</v>
      </c>
      <c r="K157" s="219" t="s">
        <v>233</v>
      </c>
      <c r="L157" s="219" t="s">
        <v>233</v>
      </c>
    </row>
    <row r="158" spans="1:12" x14ac:dyDescent="0.25">
      <c r="A158" s="170" t="s">
        <v>178</v>
      </c>
      <c r="B158" s="170" t="s">
        <v>250</v>
      </c>
      <c r="C158" s="199" t="s">
        <v>222</v>
      </c>
      <c r="D158" s="200">
        <v>435</v>
      </c>
      <c r="E158" s="472">
        <v>6963</v>
      </c>
      <c r="F158" s="472">
        <v>1125</v>
      </c>
      <c r="G158" s="472">
        <v>8088</v>
      </c>
      <c r="H158" s="493">
        <f t="shared" si="23"/>
        <v>16.006896551724139</v>
      </c>
      <c r="I158" s="493">
        <f t="shared" si="24"/>
        <v>18.593103448275862</v>
      </c>
      <c r="J158" s="175" t="s">
        <v>480</v>
      </c>
      <c r="K158" s="175" t="s">
        <v>227</v>
      </c>
      <c r="L158" s="175" t="s">
        <v>227</v>
      </c>
    </row>
    <row r="159" spans="1:12" x14ac:dyDescent="0.25">
      <c r="A159" s="170" t="s">
        <v>178</v>
      </c>
      <c r="B159" s="170" t="s">
        <v>187</v>
      </c>
      <c r="C159" s="220" t="s">
        <v>606</v>
      </c>
      <c r="D159" s="200">
        <v>285</v>
      </c>
      <c r="E159" s="472">
        <v>5541</v>
      </c>
      <c r="F159" s="472">
        <v>1100</v>
      </c>
      <c r="G159" s="472">
        <v>6641</v>
      </c>
      <c r="H159" s="493">
        <f t="shared" si="23"/>
        <v>19.442105263157895</v>
      </c>
      <c r="I159" s="493">
        <f t="shared" si="24"/>
        <v>23.301754385964912</v>
      </c>
      <c r="J159" s="175" t="s">
        <v>480</v>
      </c>
      <c r="K159" s="175" t="s">
        <v>227</v>
      </c>
      <c r="L159" s="175" t="s">
        <v>227</v>
      </c>
    </row>
    <row r="160" spans="1:12" x14ac:dyDescent="0.25">
      <c r="A160" s="170" t="s">
        <v>178</v>
      </c>
      <c r="B160" s="170" t="s">
        <v>191</v>
      </c>
      <c r="C160" s="220" t="s">
        <v>223</v>
      </c>
      <c r="D160" s="200">
        <v>355</v>
      </c>
      <c r="E160" s="472">
        <v>17800</v>
      </c>
      <c r="F160" s="472">
        <v>2</v>
      </c>
      <c r="G160" s="472">
        <v>17802</v>
      </c>
      <c r="H160" s="493">
        <f t="shared" si="23"/>
        <v>50.140845070422536</v>
      </c>
      <c r="I160" s="493">
        <f t="shared" si="24"/>
        <v>50.146478873239438</v>
      </c>
      <c r="J160" s="175" t="s">
        <v>480</v>
      </c>
      <c r="K160" s="175" t="s">
        <v>227</v>
      </c>
      <c r="L160" s="175" t="s">
        <v>227</v>
      </c>
    </row>
    <row r="161" spans="1:12" x14ac:dyDescent="0.25">
      <c r="A161" s="170" t="s">
        <v>178</v>
      </c>
      <c r="B161" s="170" t="s">
        <v>197</v>
      </c>
      <c r="C161" s="171" t="s">
        <v>222</v>
      </c>
      <c r="D161" s="200">
        <v>387</v>
      </c>
      <c r="E161" s="472">
        <v>6354</v>
      </c>
      <c r="F161" s="472">
        <v>1100</v>
      </c>
      <c r="G161" s="472">
        <v>7454</v>
      </c>
      <c r="H161" s="493">
        <f t="shared" si="23"/>
        <v>16.418604651162791</v>
      </c>
      <c r="I161" s="493">
        <f t="shared" si="24"/>
        <v>19.260981912144704</v>
      </c>
      <c r="J161" s="175" t="s">
        <v>480</v>
      </c>
      <c r="K161" s="175" t="s">
        <v>227</v>
      </c>
      <c r="L161" s="175" t="s">
        <v>227</v>
      </c>
    </row>
    <row r="162" spans="1:12" x14ac:dyDescent="0.25">
      <c r="A162" s="170" t="s">
        <v>364</v>
      </c>
      <c r="B162" s="170" t="s">
        <v>271</v>
      </c>
      <c r="C162" s="171" t="s">
        <v>216</v>
      </c>
      <c r="D162" s="200">
        <v>287</v>
      </c>
      <c r="E162" s="472">
        <v>4029</v>
      </c>
      <c r="F162" s="472">
        <v>825</v>
      </c>
      <c r="G162" s="472">
        <v>4854</v>
      </c>
      <c r="H162" s="493">
        <f t="shared" si="23"/>
        <v>14.038327526132404</v>
      </c>
      <c r="I162" s="493">
        <f t="shared" si="24"/>
        <v>16.912891986062718</v>
      </c>
      <c r="J162" s="175" t="s">
        <v>227</v>
      </c>
      <c r="K162" s="175" t="s">
        <v>224</v>
      </c>
      <c r="L162" s="175" t="s">
        <v>227</v>
      </c>
    </row>
    <row r="163" spans="1:12" x14ac:dyDescent="0.25">
      <c r="A163" s="170" t="s">
        <v>364</v>
      </c>
      <c r="B163" s="170" t="s">
        <v>326</v>
      </c>
      <c r="C163" s="171" t="s">
        <v>216</v>
      </c>
      <c r="D163" s="200">
        <v>332</v>
      </c>
      <c r="E163" s="472">
        <v>0</v>
      </c>
      <c r="F163" s="472">
        <v>0</v>
      </c>
      <c r="G163" s="473">
        <v>0</v>
      </c>
      <c r="H163" s="493">
        <f t="shared" si="23"/>
        <v>0</v>
      </c>
      <c r="I163" s="493">
        <f t="shared" si="24"/>
        <v>0</v>
      </c>
      <c r="J163" s="175" t="s">
        <v>480</v>
      </c>
      <c r="K163" s="175" t="s">
        <v>227</v>
      </c>
      <c r="L163" s="175" t="s">
        <v>227</v>
      </c>
    </row>
    <row r="164" spans="1:12" x14ac:dyDescent="0.25">
      <c r="A164" s="170" t="s">
        <v>364</v>
      </c>
      <c r="B164" s="170" t="s">
        <v>528</v>
      </c>
      <c r="C164" s="171" t="s">
        <v>216</v>
      </c>
      <c r="D164" s="200">
        <v>312</v>
      </c>
      <c r="E164" s="472">
        <v>4000</v>
      </c>
      <c r="F164" s="472">
        <v>0</v>
      </c>
      <c r="G164" s="472">
        <v>4000</v>
      </c>
      <c r="H164" s="493">
        <f t="shared" si="23"/>
        <v>12.820512820512821</v>
      </c>
      <c r="I164" s="493">
        <f t="shared" si="24"/>
        <v>12.820512820512821</v>
      </c>
      <c r="J164" s="175" t="s">
        <v>480</v>
      </c>
      <c r="K164" s="175" t="s">
        <v>227</v>
      </c>
      <c r="L164" s="175" t="s">
        <v>227</v>
      </c>
    </row>
    <row r="165" spans="1:12" x14ac:dyDescent="0.25">
      <c r="A165" s="170" t="s">
        <v>364</v>
      </c>
      <c r="B165" s="170" t="s">
        <v>190</v>
      </c>
      <c r="C165" s="171" t="s">
        <v>216</v>
      </c>
      <c r="D165" s="200">
        <v>293</v>
      </c>
      <c r="E165" s="472">
        <v>5071</v>
      </c>
      <c r="F165" s="473">
        <v>0</v>
      </c>
      <c r="G165" s="472">
        <v>5071</v>
      </c>
      <c r="H165" s="493">
        <f t="shared" si="23"/>
        <v>17.30716723549488</v>
      </c>
      <c r="I165" s="493">
        <f t="shared" si="24"/>
        <v>17.30716723549488</v>
      </c>
      <c r="J165" s="175" t="s">
        <v>480</v>
      </c>
      <c r="K165" s="175" t="s">
        <v>227</v>
      </c>
      <c r="L165" s="175" t="s">
        <v>227</v>
      </c>
    </row>
    <row r="166" spans="1:12" x14ac:dyDescent="0.25">
      <c r="A166" s="170" t="s">
        <v>364</v>
      </c>
      <c r="B166" s="170" t="s">
        <v>327</v>
      </c>
      <c r="C166" s="171" t="s">
        <v>216</v>
      </c>
      <c r="D166" s="200">
        <v>326</v>
      </c>
      <c r="E166" s="472">
        <v>9280</v>
      </c>
      <c r="F166" s="473">
        <v>0</v>
      </c>
      <c r="G166" s="472">
        <v>9280</v>
      </c>
      <c r="H166" s="493">
        <f t="shared" si="23"/>
        <v>28.466257668711656</v>
      </c>
      <c r="I166" s="493">
        <f t="shared" si="24"/>
        <v>28.466257668711656</v>
      </c>
      <c r="J166" s="175" t="s">
        <v>480</v>
      </c>
      <c r="K166" s="175" t="s">
        <v>227</v>
      </c>
      <c r="L166" s="175" t="s">
        <v>227</v>
      </c>
    </row>
    <row r="167" spans="1:12" x14ac:dyDescent="0.25">
      <c r="A167" s="170" t="s">
        <v>364</v>
      </c>
      <c r="B167" s="170" t="s">
        <v>530</v>
      </c>
      <c r="C167" s="171" t="s">
        <v>217</v>
      </c>
      <c r="D167" s="200">
        <v>442</v>
      </c>
      <c r="E167" s="472">
        <v>3106</v>
      </c>
      <c r="F167" s="472">
        <v>500</v>
      </c>
      <c r="G167" s="472">
        <v>3606</v>
      </c>
      <c r="H167" s="493">
        <f t="shared" si="23"/>
        <v>7.0271493212669682</v>
      </c>
      <c r="I167" s="493">
        <f t="shared" si="24"/>
        <v>8.1583710407239813</v>
      </c>
      <c r="J167" s="175" t="s">
        <v>480</v>
      </c>
      <c r="K167" s="175" t="s">
        <v>227</v>
      </c>
      <c r="L167" s="175" t="s">
        <v>227</v>
      </c>
    </row>
    <row r="168" spans="1:12" x14ac:dyDescent="0.25">
      <c r="A168" s="170" t="s">
        <v>184</v>
      </c>
      <c r="B168" s="170" t="s">
        <v>531</v>
      </c>
      <c r="C168" s="171" t="s">
        <v>216</v>
      </c>
      <c r="D168" s="200">
        <v>10</v>
      </c>
      <c r="E168" s="472">
        <v>0</v>
      </c>
      <c r="F168" s="472">
        <v>0</v>
      </c>
      <c r="G168" s="472">
        <v>0</v>
      </c>
      <c r="H168" s="493">
        <f t="shared" si="23"/>
        <v>0</v>
      </c>
      <c r="I168" s="493">
        <f t="shared" si="24"/>
        <v>0</v>
      </c>
      <c r="J168" s="175" t="s">
        <v>227</v>
      </c>
      <c r="K168" s="175" t="s">
        <v>224</v>
      </c>
      <c r="L168" s="175" t="s">
        <v>227</v>
      </c>
    </row>
    <row r="169" spans="1:12" x14ac:dyDescent="0.25">
      <c r="A169" s="170" t="s">
        <v>184</v>
      </c>
      <c r="B169" s="170" t="s">
        <v>199</v>
      </c>
      <c r="C169" s="171" t="s">
        <v>216</v>
      </c>
      <c r="D169" s="200">
        <v>296</v>
      </c>
      <c r="E169" s="472">
        <v>4000</v>
      </c>
      <c r="F169" s="472">
        <v>0</v>
      </c>
      <c r="G169" s="472">
        <v>4000</v>
      </c>
      <c r="H169" s="493">
        <f t="shared" si="23"/>
        <v>13.513513513513514</v>
      </c>
      <c r="I169" s="493">
        <f t="shared" si="24"/>
        <v>13.513513513513514</v>
      </c>
      <c r="J169" s="175" t="s">
        <v>480</v>
      </c>
      <c r="K169" s="175" t="s">
        <v>227</v>
      </c>
      <c r="L169" s="175" t="s">
        <v>227</v>
      </c>
    </row>
    <row r="170" spans="1:12" x14ac:dyDescent="0.25">
      <c r="A170" s="170" t="s">
        <v>149</v>
      </c>
      <c r="B170" s="170" t="s">
        <v>328</v>
      </c>
      <c r="C170" s="171" t="s">
        <v>216</v>
      </c>
      <c r="D170" s="200">
        <v>290</v>
      </c>
      <c r="E170" s="472">
        <v>3000</v>
      </c>
      <c r="F170" s="472">
        <v>2500</v>
      </c>
      <c r="G170" s="472">
        <v>5500</v>
      </c>
      <c r="H170" s="493">
        <f t="shared" si="23"/>
        <v>10.344827586206897</v>
      </c>
      <c r="I170" s="493">
        <f t="shared" si="24"/>
        <v>18.96551724137931</v>
      </c>
      <c r="J170" s="175" t="s">
        <v>480</v>
      </c>
      <c r="K170" s="175" t="s">
        <v>227</v>
      </c>
      <c r="L170" s="175" t="s">
        <v>227</v>
      </c>
    </row>
    <row r="171" spans="1:12" x14ac:dyDescent="0.25">
      <c r="A171" s="170" t="s">
        <v>149</v>
      </c>
      <c r="B171" s="170" t="s">
        <v>329</v>
      </c>
      <c r="C171" s="171" t="s">
        <v>216</v>
      </c>
      <c r="D171" s="200">
        <v>301</v>
      </c>
      <c r="E171" s="472">
        <v>3000</v>
      </c>
      <c r="F171" s="472">
        <v>2500</v>
      </c>
      <c r="G171" s="472">
        <v>5500</v>
      </c>
      <c r="H171" s="493">
        <f t="shared" si="23"/>
        <v>9.9667774086378742</v>
      </c>
      <c r="I171" s="493">
        <f t="shared" si="24"/>
        <v>18.272425249169434</v>
      </c>
      <c r="J171" s="175" t="s">
        <v>480</v>
      </c>
      <c r="K171" s="175" t="s">
        <v>227</v>
      </c>
      <c r="L171" s="175" t="s">
        <v>227</v>
      </c>
    </row>
    <row r="172" spans="1:12" x14ac:dyDescent="0.25">
      <c r="A172" s="170" t="s">
        <v>149</v>
      </c>
      <c r="B172" s="170" t="s">
        <v>330</v>
      </c>
      <c r="C172" s="171" t="s">
        <v>216</v>
      </c>
      <c r="D172" s="200">
        <v>303</v>
      </c>
      <c r="E172" s="472">
        <v>3000</v>
      </c>
      <c r="F172" s="472">
        <v>2500</v>
      </c>
      <c r="G172" s="472">
        <v>5500</v>
      </c>
      <c r="H172" s="493">
        <f t="shared" si="23"/>
        <v>9.9009900990099009</v>
      </c>
      <c r="I172" s="493">
        <f t="shared" si="24"/>
        <v>18.151815181518153</v>
      </c>
      <c r="J172" s="175" t="s">
        <v>480</v>
      </c>
      <c r="K172" s="175" t="s">
        <v>227</v>
      </c>
      <c r="L172" s="175" t="s">
        <v>227</v>
      </c>
    </row>
    <row r="173" spans="1:12" x14ac:dyDescent="0.25">
      <c r="A173" s="170" t="s">
        <v>149</v>
      </c>
      <c r="B173" s="170" t="s">
        <v>331</v>
      </c>
      <c r="C173" s="171" t="s">
        <v>216</v>
      </c>
      <c r="D173" s="221">
        <v>5</v>
      </c>
      <c r="E173" s="472">
        <v>300</v>
      </c>
      <c r="F173" s="472">
        <v>0</v>
      </c>
      <c r="G173" s="472">
        <v>300</v>
      </c>
      <c r="H173" s="493">
        <f t="shared" si="23"/>
        <v>60</v>
      </c>
      <c r="I173" s="493">
        <f t="shared" si="24"/>
        <v>60</v>
      </c>
      <c r="J173" s="175" t="s">
        <v>480</v>
      </c>
      <c r="K173" s="175" t="s">
        <v>227</v>
      </c>
      <c r="L173" s="175" t="s">
        <v>227</v>
      </c>
    </row>
    <row r="174" spans="1:12" x14ac:dyDescent="0.25">
      <c r="A174" s="170" t="s">
        <v>149</v>
      </c>
      <c r="B174" s="170" t="s">
        <v>332</v>
      </c>
      <c r="C174" s="171" t="s">
        <v>216</v>
      </c>
      <c r="D174" s="200">
        <v>16</v>
      </c>
      <c r="E174" s="472">
        <v>300</v>
      </c>
      <c r="F174" s="472">
        <v>0</v>
      </c>
      <c r="G174" s="472">
        <v>300</v>
      </c>
      <c r="H174" s="493">
        <f t="shared" si="23"/>
        <v>18.75</v>
      </c>
      <c r="I174" s="493">
        <f t="shared" si="24"/>
        <v>18.75</v>
      </c>
      <c r="J174" s="175" t="s">
        <v>227</v>
      </c>
      <c r="K174" s="175" t="s">
        <v>224</v>
      </c>
      <c r="L174" s="175" t="s">
        <v>227</v>
      </c>
    </row>
    <row r="175" spans="1:12" x14ac:dyDescent="0.25">
      <c r="A175" s="170" t="s">
        <v>181</v>
      </c>
      <c r="B175" s="170" t="s">
        <v>532</v>
      </c>
      <c r="C175" s="171" t="s">
        <v>220</v>
      </c>
      <c r="D175" s="200">
        <v>192</v>
      </c>
      <c r="E175" s="472">
        <v>400</v>
      </c>
      <c r="F175" s="472">
        <v>0</v>
      </c>
      <c r="G175" s="472">
        <v>400</v>
      </c>
      <c r="H175" s="493">
        <f t="shared" si="23"/>
        <v>2.0833333333333335</v>
      </c>
      <c r="I175" s="493">
        <f t="shared" si="24"/>
        <v>2.0833333333333335</v>
      </c>
      <c r="J175" s="175" t="s">
        <v>227</v>
      </c>
      <c r="K175" s="175" t="s">
        <v>227</v>
      </c>
      <c r="L175" s="175" t="s">
        <v>224</v>
      </c>
    </row>
    <row r="176" spans="1:12" x14ac:dyDescent="0.25">
      <c r="A176" s="170" t="s">
        <v>181</v>
      </c>
      <c r="B176" s="170" t="s">
        <v>533</v>
      </c>
      <c r="C176" s="171" t="s">
        <v>221</v>
      </c>
      <c r="D176" s="200">
        <v>186</v>
      </c>
      <c r="E176" s="472">
        <v>4000</v>
      </c>
      <c r="F176" s="473">
        <v>0</v>
      </c>
      <c r="G176" s="472">
        <v>4000</v>
      </c>
      <c r="H176" s="493">
        <f t="shared" si="23"/>
        <v>21.50537634408602</v>
      </c>
      <c r="I176" s="493">
        <f t="shared" si="24"/>
        <v>21.50537634408602</v>
      </c>
      <c r="J176" s="175" t="s">
        <v>227</v>
      </c>
      <c r="K176" s="175" t="s">
        <v>227</v>
      </c>
      <c r="L176" s="175" t="s">
        <v>224</v>
      </c>
    </row>
    <row r="177" spans="1:12" x14ac:dyDescent="0.25">
      <c r="A177" s="170" t="s">
        <v>179</v>
      </c>
      <c r="B177" s="170" t="s">
        <v>251</v>
      </c>
      <c r="C177" s="171" t="s">
        <v>216</v>
      </c>
      <c r="D177" s="200">
        <v>212</v>
      </c>
      <c r="E177" s="472">
        <v>1500</v>
      </c>
      <c r="F177" s="473">
        <v>0</v>
      </c>
      <c r="G177" s="472">
        <v>1500</v>
      </c>
      <c r="H177" s="493">
        <f t="shared" si="23"/>
        <v>7.0754716981132075</v>
      </c>
      <c r="I177" s="493">
        <f t="shared" si="24"/>
        <v>7.0754716981132075</v>
      </c>
      <c r="J177" s="175" t="s">
        <v>227</v>
      </c>
      <c r="K177" s="175" t="s">
        <v>224</v>
      </c>
      <c r="L177" s="175" t="s">
        <v>227</v>
      </c>
    </row>
    <row r="178" spans="1:12" x14ac:dyDescent="0.25">
      <c r="A178" s="170" t="s">
        <v>183</v>
      </c>
      <c r="B178" s="170" t="s">
        <v>333</v>
      </c>
      <c r="C178" s="171" t="s">
        <v>216</v>
      </c>
      <c r="D178" s="200">
        <v>311</v>
      </c>
      <c r="E178" s="473">
        <v>3000</v>
      </c>
      <c r="F178" s="473">
        <v>0</v>
      </c>
      <c r="G178" s="472">
        <v>3000</v>
      </c>
      <c r="H178" s="493">
        <f t="shared" si="23"/>
        <v>9.6463022508038581</v>
      </c>
      <c r="I178" s="493">
        <f t="shared" si="24"/>
        <v>9.6463022508038581</v>
      </c>
      <c r="J178" s="175" t="s">
        <v>227</v>
      </c>
      <c r="K178" s="175" t="s">
        <v>224</v>
      </c>
      <c r="L178" s="175" t="s">
        <v>227</v>
      </c>
    </row>
    <row r="179" spans="1:12" x14ac:dyDescent="0.25">
      <c r="A179" s="170" t="s">
        <v>183</v>
      </c>
      <c r="B179" s="170" t="s">
        <v>534</v>
      </c>
      <c r="C179" s="171" t="s">
        <v>216</v>
      </c>
      <c r="D179" s="200">
        <v>307</v>
      </c>
      <c r="E179" s="472">
        <v>3000</v>
      </c>
      <c r="F179" s="472">
        <v>0</v>
      </c>
      <c r="G179" s="472">
        <v>3000</v>
      </c>
      <c r="H179" s="493">
        <f t="shared" si="23"/>
        <v>9.7719869706840399</v>
      </c>
      <c r="I179" s="493">
        <f t="shared" si="24"/>
        <v>9.7719869706840399</v>
      </c>
      <c r="J179" s="175" t="s">
        <v>227</v>
      </c>
      <c r="K179" s="175" t="s">
        <v>224</v>
      </c>
      <c r="L179" s="175" t="s">
        <v>227</v>
      </c>
    </row>
    <row r="180" spans="1:12" x14ac:dyDescent="0.25">
      <c r="A180" s="170" t="s">
        <v>183</v>
      </c>
      <c r="B180" s="170" t="s">
        <v>196</v>
      </c>
      <c r="C180" s="171" t="s">
        <v>216</v>
      </c>
      <c r="D180" s="200">
        <v>329</v>
      </c>
      <c r="E180" s="472">
        <v>2500</v>
      </c>
      <c r="F180" s="473">
        <v>0</v>
      </c>
      <c r="G180" s="472">
        <v>2500</v>
      </c>
      <c r="H180" s="493">
        <f t="shared" si="23"/>
        <v>7.598784194528875</v>
      </c>
      <c r="I180" s="493">
        <f t="shared" si="24"/>
        <v>7.598784194528875</v>
      </c>
      <c r="J180" s="219" t="s">
        <v>233</v>
      </c>
      <c r="K180" s="219" t="s">
        <v>233</v>
      </c>
      <c r="L180" s="219" t="s">
        <v>233</v>
      </c>
    </row>
    <row r="181" spans="1:12" x14ac:dyDescent="0.25">
      <c r="A181" s="170" t="s">
        <v>257</v>
      </c>
      <c r="B181" s="170" t="s">
        <v>535</v>
      </c>
      <c r="C181" s="171" t="s">
        <v>222</v>
      </c>
      <c r="D181" s="200">
        <v>434</v>
      </c>
      <c r="E181" s="472">
        <v>4000</v>
      </c>
      <c r="F181" s="473">
        <v>0</v>
      </c>
      <c r="G181" s="472">
        <v>4000</v>
      </c>
      <c r="H181" s="493">
        <f t="shared" si="23"/>
        <v>9.2165898617511512</v>
      </c>
      <c r="I181" s="493">
        <f t="shared" si="24"/>
        <v>9.2165898617511512</v>
      </c>
      <c r="J181" s="175" t="s">
        <v>227</v>
      </c>
      <c r="K181" s="175" t="s">
        <v>224</v>
      </c>
      <c r="L181" s="175" t="s">
        <v>227</v>
      </c>
    </row>
    <row r="182" spans="1:12" x14ac:dyDescent="0.25">
      <c r="A182" s="170" t="s">
        <v>365</v>
      </c>
      <c r="B182" s="170" t="s">
        <v>334</v>
      </c>
      <c r="C182" s="171" t="s">
        <v>216</v>
      </c>
      <c r="D182" s="200">
        <v>37</v>
      </c>
      <c r="E182" s="472">
        <v>200</v>
      </c>
      <c r="F182" s="473">
        <v>0</v>
      </c>
      <c r="G182" s="472">
        <v>200</v>
      </c>
      <c r="H182" s="493">
        <f>+E182/D182</f>
        <v>5.4054054054054053</v>
      </c>
      <c r="I182" s="493">
        <f>+G182/D182</f>
        <v>5.4054054054054053</v>
      </c>
      <c r="J182" s="219" t="s">
        <v>233</v>
      </c>
      <c r="K182" s="219" t="s">
        <v>233</v>
      </c>
      <c r="L182" s="219" t="s">
        <v>233</v>
      </c>
    </row>
    <row r="183" spans="1:12" x14ac:dyDescent="0.25">
      <c r="A183" s="170" t="s">
        <v>365</v>
      </c>
      <c r="B183" s="170" t="s">
        <v>335</v>
      </c>
      <c r="C183" s="171" t="s">
        <v>216</v>
      </c>
      <c r="D183" s="200">
        <v>304</v>
      </c>
      <c r="E183" s="472">
        <v>5300</v>
      </c>
      <c r="F183" s="473">
        <v>0</v>
      </c>
      <c r="G183" s="472">
        <v>5300</v>
      </c>
      <c r="H183" s="493">
        <f>+E183/D183</f>
        <v>17.434210526315791</v>
      </c>
      <c r="I183" s="493">
        <f>+G183/D183</f>
        <v>17.434210526315791</v>
      </c>
      <c r="J183" s="175" t="s">
        <v>227</v>
      </c>
      <c r="K183" s="175" t="s">
        <v>224</v>
      </c>
      <c r="L183" s="175" t="s">
        <v>227</v>
      </c>
    </row>
    <row r="184" spans="1:12" x14ac:dyDescent="0.25">
      <c r="A184" s="170" t="s">
        <v>365</v>
      </c>
      <c r="B184" s="170" t="s">
        <v>536</v>
      </c>
      <c r="C184" s="171" t="s">
        <v>216</v>
      </c>
      <c r="D184" s="200">
        <v>390</v>
      </c>
      <c r="E184" s="472">
        <v>4936</v>
      </c>
      <c r="F184" s="472">
        <v>2036</v>
      </c>
      <c r="G184" s="472">
        <v>6972</v>
      </c>
      <c r="H184" s="493">
        <f t="shared" si="23"/>
        <v>12.656410256410256</v>
      </c>
      <c r="I184" s="493">
        <f t="shared" si="24"/>
        <v>17.876923076923077</v>
      </c>
      <c r="J184" s="175" t="s">
        <v>227</v>
      </c>
      <c r="K184" s="175" t="s">
        <v>224</v>
      </c>
      <c r="L184" s="175" t="s">
        <v>227</v>
      </c>
    </row>
    <row r="185" spans="1:12" x14ac:dyDescent="0.25">
      <c r="A185" s="170" t="s">
        <v>174</v>
      </c>
      <c r="B185" s="170" t="s">
        <v>202</v>
      </c>
      <c r="C185" s="171" t="s">
        <v>219</v>
      </c>
      <c r="D185" s="200">
        <v>166</v>
      </c>
      <c r="E185" s="472">
        <v>2000</v>
      </c>
      <c r="F185" s="472">
        <v>0</v>
      </c>
      <c r="G185" s="472">
        <v>2000</v>
      </c>
      <c r="H185" s="493">
        <f t="shared" si="23"/>
        <v>12.048192771084338</v>
      </c>
      <c r="I185" s="493">
        <f t="shared" si="24"/>
        <v>12.048192771084338</v>
      </c>
      <c r="J185" s="175" t="s">
        <v>480</v>
      </c>
      <c r="K185" s="175" t="s">
        <v>227</v>
      </c>
      <c r="L185" s="175" t="s">
        <v>227</v>
      </c>
    </row>
    <row r="186" spans="1:12" x14ac:dyDescent="0.25">
      <c r="A186" s="170" t="s">
        <v>174</v>
      </c>
      <c r="B186" s="170" t="s">
        <v>173</v>
      </c>
      <c r="C186" s="171" t="s">
        <v>275</v>
      </c>
      <c r="D186" s="200">
        <v>187</v>
      </c>
      <c r="E186" s="472">
        <v>1200</v>
      </c>
      <c r="F186" s="472">
        <v>0</v>
      </c>
      <c r="G186" s="472">
        <v>1200</v>
      </c>
      <c r="H186" s="493">
        <f t="shared" si="23"/>
        <v>6.4171122994652405</v>
      </c>
      <c r="I186" s="493">
        <f t="shared" si="24"/>
        <v>6.4171122994652405</v>
      </c>
      <c r="J186" s="175" t="s">
        <v>480</v>
      </c>
      <c r="K186" s="175" t="s">
        <v>227</v>
      </c>
      <c r="L186" s="175" t="s">
        <v>227</v>
      </c>
    </row>
    <row r="187" spans="1:12" x14ac:dyDescent="0.25">
      <c r="A187" s="170" t="s">
        <v>174</v>
      </c>
      <c r="B187" s="170" t="s">
        <v>175</v>
      </c>
      <c r="C187" s="171" t="s">
        <v>273</v>
      </c>
      <c r="D187" s="200">
        <v>164</v>
      </c>
      <c r="E187" s="472">
        <v>1200</v>
      </c>
      <c r="F187" s="472">
        <v>0</v>
      </c>
      <c r="G187" s="472">
        <v>1200</v>
      </c>
      <c r="H187" s="493">
        <f t="shared" si="23"/>
        <v>7.3170731707317076</v>
      </c>
      <c r="I187" s="493">
        <f t="shared" si="24"/>
        <v>7.3170731707317076</v>
      </c>
      <c r="J187" s="175" t="s">
        <v>480</v>
      </c>
      <c r="K187" s="175" t="s">
        <v>227</v>
      </c>
      <c r="L187" s="175" t="s">
        <v>227</v>
      </c>
    </row>
    <row r="188" spans="1:12" x14ac:dyDescent="0.25">
      <c r="A188" s="170" t="s">
        <v>366</v>
      </c>
      <c r="B188" s="170" t="s">
        <v>502</v>
      </c>
      <c r="C188" s="171" t="s">
        <v>216</v>
      </c>
      <c r="D188" s="200">
        <v>350</v>
      </c>
      <c r="E188" s="472">
        <v>10178</v>
      </c>
      <c r="F188" s="472">
        <v>0</v>
      </c>
      <c r="G188" s="472">
        <v>10178</v>
      </c>
      <c r="H188" s="493">
        <f t="shared" si="23"/>
        <v>29.08</v>
      </c>
      <c r="I188" s="493">
        <f t="shared" si="24"/>
        <v>29.08</v>
      </c>
      <c r="J188" s="175" t="s">
        <v>480</v>
      </c>
      <c r="K188" s="175" t="s">
        <v>227</v>
      </c>
      <c r="L188" s="175" t="s">
        <v>227</v>
      </c>
    </row>
    <row r="189" spans="1:12" x14ac:dyDescent="0.25">
      <c r="A189" s="355"/>
      <c r="B189" s="356"/>
      <c r="C189" s="155" t="s">
        <v>7</v>
      </c>
      <c r="D189" s="262">
        <f>SUM(D127:D188)</f>
        <v>15601</v>
      </c>
      <c r="E189" s="496">
        <f>SUM(E127:E188)</f>
        <v>174756</v>
      </c>
      <c r="F189" s="496">
        <f>SUM(F127:F188)</f>
        <v>28438</v>
      </c>
      <c r="G189" s="496">
        <f>SUM(G127:G188)</f>
        <v>190694</v>
      </c>
      <c r="H189" s="497"/>
      <c r="I189" s="497"/>
      <c r="J189" s="342">
        <v>23</v>
      </c>
      <c r="K189" s="342">
        <v>22</v>
      </c>
      <c r="L189" s="342">
        <v>11</v>
      </c>
    </row>
    <row r="190" spans="1:12" x14ac:dyDescent="0.25">
      <c r="A190" s="358"/>
      <c r="B190" s="359"/>
      <c r="C190" s="360" t="s">
        <v>8</v>
      </c>
      <c r="D190" s="262">
        <f t="shared" ref="D190:I190" si="25">AVERAGE(D127:D188)</f>
        <v>251.62903225806451</v>
      </c>
      <c r="E190" s="496">
        <f t="shared" si="25"/>
        <v>3177.3818181818183</v>
      </c>
      <c r="F190" s="496">
        <f t="shared" si="25"/>
        <v>517.0545454545454</v>
      </c>
      <c r="G190" s="496">
        <f t="shared" si="25"/>
        <v>3467.1636363636362</v>
      </c>
      <c r="H190" s="497">
        <f t="shared" si="25"/>
        <v>12.805357736690162</v>
      </c>
      <c r="I190" s="497">
        <f t="shared" si="25"/>
        <v>13.708666423794584</v>
      </c>
      <c r="J190" s="342"/>
      <c r="K190" s="342"/>
      <c r="L190" s="342"/>
    </row>
    <row r="191" spans="1:12" x14ac:dyDescent="0.25">
      <c r="A191" s="358"/>
      <c r="B191" s="359"/>
      <c r="C191" s="360" t="s">
        <v>9</v>
      </c>
      <c r="D191" s="262">
        <f t="shared" ref="D191:I191" si="26">MEDIAN(D127:D188)</f>
        <v>288.5</v>
      </c>
      <c r="E191" s="496">
        <f t="shared" si="26"/>
        <v>3000</v>
      </c>
      <c r="F191" s="496">
        <f t="shared" si="26"/>
        <v>0</v>
      </c>
      <c r="G191" s="496">
        <f t="shared" si="26"/>
        <v>3000</v>
      </c>
      <c r="H191" s="497">
        <f t="shared" si="26"/>
        <v>9.9009900990099009</v>
      </c>
      <c r="I191" s="497">
        <f t="shared" si="26"/>
        <v>11.820051413881748</v>
      </c>
      <c r="J191" s="342"/>
      <c r="K191" s="342"/>
      <c r="L191" s="342"/>
    </row>
    <row r="192" spans="1:12" x14ac:dyDescent="0.25">
      <c r="A192" s="361"/>
      <c r="B192" s="362"/>
      <c r="C192" s="360" t="s">
        <v>30</v>
      </c>
      <c r="D192" s="363"/>
      <c r="E192" s="496"/>
      <c r="F192" s="496"/>
      <c r="G192" s="496"/>
      <c r="H192" s="497"/>
      <c r="I192" s="497"/>
      <c r="J192" s="364">
        <f>+J189/J126</f>
        <v>0.4107142857142857</v>
      </c>
      <c r="K192" s="364">
        <f>+K189/K126</f>
        <v>0.39285714285714285</v>
      </c>
      <c r="L192" s="364">
        <f>+L189/L126</f>
        <v>0.19642857142857142</v>
      </c>
    </row>
    <row r="193" spans="1:12" ht="15" customHeight="1" x14ac:dyDescent="0.25">
      <c r="A193" s="5"/>
      <c r="B193" s="5"/>
      <c r="C193" s="498"/>
      <c r="D193" s="5"/>
      <c r="E193" s="499"/>
      <c r="F193" s="499"/>
      <c r="G193" s="499"/>
      <c r="H193" s="500"/>
      <c r="I193" s="5"/>
      <c r="J193" s="5"/>
      <c r="K193" s="5"/>
      <c r="L193" s="5"/>
    </row>
    <row r="194" spans="1:12" ht="15" customHeight="1" x14ac:dyDescent="0.25">
      <c r="A194" s="5"/>
      <c r="B194" s="5"/>
      <c r="C194" s="498"/>
      <c r="D194" s="5"/>
      <c r="E194" s="499"/>
      <c r="F194" s="499"/>
      <c r="G194" s="499"/>
      <c r="H194" s="500"/>
      <c r="I194" s="5"/>
      <c r="J194" s="5"/>
      <c r="K194" s="5"/>
      <c r="L194" s="5"/>
    </row>
    <row r="195" spans="1:12" ht="15" customHeight="1" x14ac:dyDescent="0.25">
      <c r="D195" s="223"/>
      <c r="F195" s="152"/>
      <c r="G195" s="152"/>
      <c r="H195" s="152"/>
    </row>
    <row r="196" spans="1:12" ht="15" customHeight="1" x14ac:dyDescent="0.25">
      <c r="D196" s="223"/>
      <c r="F196" s="152"/>
      <c r="G196" s="152"/>
      <c r="H196" s="152"/>
    </row>
    <row r="197" spans="1:12" ht="15" customHeight="1" x14ac:dyDescent="0.25">
      <c r="D197" s="223"/>
      <c r="F197" s="152"/>
      <c r="G197" s="152"/>
      <c r="H197" s="152"/>
    </row>
    <row r="198" spans="1:12" ht="15" customHeight="1" x14ac:dyDescent="0.25">
      <c r="D198" s="223"/>
      <c r="F198" s="152"/>
      <c r="G198" s="152"/>
      <c r="H198" s="152"/>
    </row>
    <row r="199" spans="1:12" ht="15" customHeight="1" x14ac:dyDescent="0.25">
      <c r="D199" s="223"/>
      <c r="F199" s="152"/>
      <c r="G199" s="152"/>
      <c r="H199" s="152"/>
    </row>
    <row r="200" spans="1:12" ht="15" customHeight="1" x14ac:dyDescent="0.25">
      <c r="D200" s="223"/>
      <c r="F200" s="152"/>
      <c r="G200" s="152"/>
      <c r="H200" s="152"/>
    </row>
  </sheetData>
  <sheetProtection sheet="1" objects="1" scenarios="1"/>
  <mergeCells count="39">
    <mergeCell ref="A109:C109"/>
    <mergeCell ref="E124:G124"/>
    <mergeCell ref="H124:I124"/>
    <mergeCell ref="J124:L124"/>
    <mergeCell ref="A126:C126"/>
    <mergeCell ref="E107:G107"/>
    <mergeCell ref="H107:I107"/>
    <mergeCell ref="J107:L107"/>
    <mergeCell ref="A24:C24"/>
    <mergeCell ref="E53:G53"/>
    <mergeCell ref="H53:I53"/>
    <mergeCell ref="J53:L53"/>
    <mergeCell ref="A55:C55"/>
    <mergeCell ref="E69:G69"/>
    <mergeCell ref="H69:I69"/>
    <mergeCell ref="J69:L69"/>
    <mergeCell ref="A71:C71"/>
    <mergeCell ref="E83:G83"/>
    <mergeCell ref="H83:I83"/>
    <mergeCell ref="J83:L83"/>
    <mergeCell ref="A85:C85"/>
    <mergeCell ref="H17:I17"/>
    <mergeCell ref="J17:L17"/>
    <mergeCell ref="A19:C19"/>
    <mergeCell ref="E22:G22"/>
    <mergeCell ref="H22:I22"/>
    <mergeCell ref="J22:L22"/>
    <mergeCell ref="E17:G17"/>
    <mergeCell ref="C10:D10"/>
    <mergeCell ref="C11:D11"/>
    <mergeCell ref="C12:D12"/>
    <mergeCell ref="C13:D13"/>
    <mergeCell ref="C14:D14"/>
    <mergeCell ref="C9:D9"/>
    <mergeCell ref="C6:D7"/>
    <mergeCell ref="E6:G6"/>
    <mergeCell ref="H6:I6"/>
    <mergeCell ref="J6:L6"/>
    <mergeCell ref="C8:D8"/>
  </mergeCells>
  <pageMargins left="0.2" right="0.2" top="0.25" bottom="0.5" header="0.05" footer="0.05"/>
  <pageSetup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5D030-5DAB-450C-A082-AA4972F9ECC0}">
  <dimension ref="A1:T188"/>
  <sheetViews>
    <sheetView topLeftCell="B1" zoomScaleNormal="100" workbookViewId="0">
      <pane ySplit="18" topLeftCell="A19" activePane="bottomLeft" state="frozen"/>
      <selection activeCell="A20" sqref="A20:XFD20"/>
      <selection pane="bottomLeft" activeCell="P23" sqref="P23"/>
    </sheetView>
  </sheetViews>
  <sheetFormatPr defaultRowHeight="15" x14ac:dyDescent="0.25"/>
  <cols>
    <col min="1" max="1" width="14.140625" style="4" customWidth="1"/>
    <col min="2" max="2" width="46.85546875" style="4" customWidth="1"/>
    <col min="3" max="3" width="10.42578125" style="4" customWidth="1"/>
    <col min="4" max="4" width="10.85546875" style="4" customWidth="1"/>
    <col min="5" max="5" width="10.28515625" style="4" customWidth="1"/>
    <col min="6" max="6" width="10.140625" style="4" customWidth="1"/>
    <col min="7" max="7" width="10.5703125" style="4" customWidth="1"/>
    <col min="8" max="8" width="12.85546875" style="4" customWidth="1"/>
    <col min="9" max="9" width="10.85546875" style="4" customWidth="1"/>
    <col min="10" max="10" width="9.85546875" style="4" customWidth="1"/>
    <col min="11" max="16384" width="9.140625" style="4"/>
  </cols>
  <sheetData>
    <row r="1" spans="1:13" s="5" customFormat="1" ht="15.75" x14ac:dyDescent="0.25">
      <c r="A1" s="2" t="s">
        <v>354</v>
      </c>
      <c r="B1" s="3"/>
      <c r="C1" s="4"/>
      <c r="D1" s="4"/>
      <c r="E1" s="4"/>
      <c r="F1" s="4"/>
      <c r="G1" s="4"/>
      <c r="H1" s="4"/>
    </row>
    <row r="2" spans="1:13" s="6" customFormat="1" ht="15.75" x14ac:dyDescent="0.25">
      <c r="A2" s="2" t="s">
        <v>58</v>
      </c>
      <c r="D2" s="7"/>
      <c r="E2" s="7"/>
      <c r="F2" s="7"/>
      <c r="G2" s="7"/>
      <c r="H2" s="7"/>
      <c r="I2" s="9"/>
      <c r="J2" s="11"/>
      <c r="K2" s="11"/>
    </row>
    <row r="3" spans="1:13" s="1" customFormat="1" ht="12.75" x14ac:dyDescent="0.2">
      <c r="A3" s="284" t="s">
        <v>24</v>
      </c>
      <c r="D3" s="13"/>
      <c r="E3" s="13"/>
      <c r="F3" s="11"/>
      <c r="G3" s="13"/>
      <c r="H3" s="13"/>
      <c r="I3" s="13"/>
      <c r="J3" s="13"/>
    </row>
    <row r="4" spans="1:13" s="1" customFormat="1" ht="15.75" x14ac:dyDescent="0.25">
      <c r="A4" s="74"/>
      <c r="B4" s="2"/>
      <c r="D4" s="13"/>
      <c r="E4" s="13"/>
      <c r="F4" s="13"/>
      <c r="G4" s="13"/>
      <c r="H4" s="13"/>
      <c r="I4" s="286"/>
      <c r="J4" s="11"/>
      <c r="K4" s="11"/>
    </row>
    <row r="5" spans="1:13" s="1" customFormat="1" ht="12.75" customHeight="1" x14ac:dyDescent="0.25">
      <c r="A5" s="501" t="s">
        <v>4</v>
      </c>
      <c r="B5" s="502"/>
      <c r="C5" s="503" t="s">
        <v>59</v>
      </c>
      <c r="D5" s="504" t="s">
        <v>60</v>
      </c>
      <c r="E5" s="96"/>
      <c r="F5" s="96"/>
      <c r="G5" s="97"/>
      <c r="H5" s="505" t="s">
        <v>61</v>
      </c>
      <c r="I5" s="506"/>
    </row>
    <row r="6" spans="1:13" s="1" customFormat="1" ht="33" customHeight="1" x14ac:dyDescent="0.25">
      <c r="B6" s="507" t="s">
        <v>6</v>
      </c>
      <c r="C6" s="508"/>
      <c r="D6" s="105" t="s">
        <v>54</v>
      </c>
      <c r="E6" s="509" t="s">
        <v>676</v>
      </c>
      <c r="F6" s="105" t="s">
        <v>62</v>
      </c>
      <c r="G6" s="105" t="s">
        <v>63</v>
      </c>
      <c r="H6" s="510" t="s">
        <v>64</v>
      </c>
      <c r="I6" s="511" t="s">
        <v>65</v>
      </c>
    </row>
    <row r="7" spans="1:13" s="1" customFormat="1" x14ac:dyDescent="0.25">
      <c r="B7" s="34" t="s">
        <v>290</v>
      </c>
      <c r="C7" s="512">
        <f>E46</f>
        <v>187803</v>
      </c>
      <c r="D7" s="512">
        <f>E47</f>
        <v>11047.235294117647</v>
      </c>
      <c r="E7" s="513">
        <f>F47</f>
        <v>25.48222735119586</v>
      </c>
      <c r="F7" s="514">
        <f>G47</f>
        <v>418.58823529411762</v>
      </c>
      <c r="G7" s="514">
        <f>H47</f>
        <v>7.9411764705882355</v>
      </c>
      <c r="H7" s="515">
        <f>I48</f>
        <v>2006</v>
      </c>
      <c r="I7" s="515">
        <v>16</v>
      </c>
    </row>
    <row r="8" spans="1:13" s="1" customFormat="1" x14ac:dyDescent="0.25">
      <c r="B8" s="34" t="s">
        <v>668</v>
      </c>
      <c r="C8" s="512">
        <f>E61</f>
        <v>32617</v>
      </c>
      <c r="D8" s="231">
        <f>E62</f>
        <v>8154.25</v>
      </c>
      <c r="E8" s="513">
        <f>F62</f>
        <v>66.141128188525911</v>
      </c>
      <c r="F8" s="514">
        <f>G62</f>
        <v>81</v>
      </c>
      <c r="G8" s="514">
        <f>H62</f>
        <v>9.25</v>
      </c>
      <c r="H8" s="515">
        <f>I63</f>
        <v>1986.5</v>
      </c>
      <c r="I8" s="515">
        <f>J63</f>
        <v>35.5</v>
      </c>
    </row>
    <row r="9" spans="1:13" s="1" customFormat="1" x14ac:dyDescent="0.25">
      <c r="B9" s="34" t="s">
        <v>669</v>
      </c>
      <c r="C9" s="512">
        <f>E74</f>
        <v>70018</v>
      </c>
      <c r="D9" s="512">
        <f>E75</f>
        <v>17504.5</v>
      </c>
      <c r="E9" s="516">
        <f>F75</f>
        <v>246.99545844253399</v>
      </c>
      <c r="F9" s="514">
        <f>G75</f>
        <v>320.5</v>
      </c>
      <c r="G9" s="514">
        <f>H75</f>
        <v>5</v>
      </c>
      <c r="H9" s="517">
        <f>I76</f>
        <v>1998.5</v>
      </c>
      <c r="I9" s="517">
        <f>J76</f>
        <v>23.5</v>
      </c>
    </row>
    <row r="10" spans="1:13" s="1" customFormat="1" x14ac:dyDescent="0.25">
      <c r="B10" s="34" t="s">
        <v>673</v>
      </c>
      <c r="C10" s="512">
        <f>E97</f>
        <v>145214</v>
      </c>
      <c r="D10" s="231">
        <f>E98</f>
        <v>11170.307692307691</v>
      </c>
      <c r="E10" s="513">
        <f>F98</f>
        <v>24.29588618874882</v>
      </c>
      <c r="F10" s="514">
        <f>G98</f>
        <v>551.38461538461536</v>
      </c>
      <c r="G10" s="514">
        <f>H98</f>
        <v>8.615384615384615</v>
      </c>
      <c r="H10" s="515">
        <f>I99</f>
        <v>2006</v>
      </c>
      <c r="I10" s="515">
        <f>J99</f>
        <v>16</v>
      </c>
    </row>
    <row r="11" spans="1:13" s="1" customFormat="1" x14ac:dyDescent="0.25">
      <c r="B11" s="34" t="s">
        <v>671</v>
      </c>
      <c r="C11" s="512">
        <f>E113</f>
        <v>57157</v>
      </c>
      <c r="D11" s="231">
        <f>E114</f>
        <v>11431.4</v>
      </c>
      <c r="E11" s="513">
        <f>F114</f>
        <v>108.87386469139597</v>
      </c>
      <c r="F11" s="514">
        <f>G114</f>
        <v>129.4</v>
      </c>
      <c r="G11" s="514">
        <f>H114</f>
        <v>6.4</v>
      </c>
      <c r="H11" s="515">
        <f>I115</f>
        <v>2008.5</v>
      </c>
      <c r="I11" s="515">
        <f>J115</f>
        <v>13.5</v>
      </c>
      <c r="M11" s="4"/>
    </row>
    <row r="12" spans="1:13" s="1" customFormat="1" x14ac:dyDescent="0.25">
      <c r="B12" s="34" t="s">
        <v>672</v>
      </c>
      <c r="C12" s="231">
        <f>E184</f>
        <v>546902</v>
      </c>
      <c r="D12" s="231">
        <f>E185</f>
        <v>10127.814814814816</v>
      </c>
      <c r="E12" s="513">
        <f>F185</f>
        <v>76.057178748284969</v>
      </c>
      <c r="F12" s="232">
        <f>G185</f>
        <v>81.31481481481481</v>
      </c>
      <c r="G12" s="232">
        <f>H185</f>
        <v>3</v>
      </c>
      <c r="H12" s="515">
        <f>I186</f>
        <v>2005</v>
      </c>
      <c r="I12" s="231">
        <f>J186</f>
        <v>17</v>
      </c>
    </row>
    <row r="13" spans="1:13" s="1" customFormat="1" x14ac:dyDescent="0.25">
      <c r="B13" s="518" t="s">
        <v>674</v>
      </c>
      <c r="C13" s="519">
        <f>SUM(C7:C12)</f>
        <v>1039711</v>
      </c>
      <c r="D13" s="520">
        <v>10718.67</v>
      </c>
      <c r="E13" s="521">
        <v>29.38</v>
      </c>
      <c r="F13" s="522">
        <v>215.75</v>
      </c>
      <c r="G13" s="522">
        <v>5.0999999999999996</v>
      </c>
      <c r="H13" s="523">
        <f>MEDIAN(I25:I45,I55:I60,I70:I73,I83:I96,I106:I112,I122:I183)</f>
        <v>2005</v>
      </c>
      <c r="I13" s="523">
        <f>MEDIAN(J25:J45,J55:J60,J70:J73,J83:J96,J106:J112,J122:J183)</f>
        <v>17</v>
      </c>
    </row>
    <row r="14" spans="1:13" s="1" customFormat="1" ht="12.75" x14ac:dyDescent="0.2">
      <c r="B14" s="87"/>
      <c r="C14" s="88"/>
      <c r="D14" s="88"/>
    </row>
    <row r="15" spans="1:13" s="1" customFormat="1" x14ac:dyDescent="0.25">
      <c r="A15" s="501" t="s">
        <v>10</v>
      </c>
      <c r="B15" s="87"/>
      <c r="C15" s="88"/>
      <c r="D15" s="88"/>
    </row>
    <row r="16" spans="1:13" s="74" customFormat="1" ht="12.75" customHeight="1" x14ac:dyDescent="0.2">
      <c r="A16" s="317"/>
      <c r="B16" s="318"/>
      <c r="C16" s="318"/>
      <c r="D16" s="524"/>
      <c r="E16" s="525" t="s">
        <v>66</v>
      </c>
      <c r="F16" s="526"/>
      <c r="G16" s="526"/>
      <c r="H16" s="527"/>
      <c r="I16" s="528" t="s">
        <v>67</v>
      </c>
      <c r="J16" s="529"/>
    </row>
    <row r="17" spans="1:12" s="74" customFormat="1" ht="38.25" x14ac:dyDescent="0.2">
      <c r="A17" s="322" t="s">
        <v>11</v>
      </c>
      <c r="B17" s="322" t="s">
        <v>12</v>
      </c>
      <c r="C17" s="322" t="s">
        <v>2</v>
      </c>
      <c r="D17" s="530" t="s">
        <v>5</v>
      </c>
      <c r="E17" s="531" t="s">
        <v>54</v>
      </c>
      <c r="F17" s="532" t="s">
        <v>68</v>
      </c>
      <c r="G17" s="531" t="s">
        <v>69</v>
      </c>
      <c r="H17" s="531" t="s">
        <v>70</v>
      </c>
      <c r="I17" s="533" t="s">
        <v>288</v>
      </c>
      <c r="J17" s="533" t="s">
        <v>352</v>
      </c>
    </row>
    <row r="18" spans="1:12" s="74" customFormat="1" ht="12.75" x14ac:dyDescent="0.2">
      <c r="A18" s="534" t="s">
        <v>41</v>
      </c>
      <c r="B18" s="535"/>
      <c r="C18" s="536"/>
      <c r="D18" s="537">
        <v>114</v>
      </c>
      <c r="E18" s="537">
        <f t="shared" ref="E18:J18" si="0">+E24+E54+E69+E82+E105+E121</f>
        <v>97</v>
      </c>
      <c r="F18" s="537">
        <f t="shared" si="0"/>
        <v>97</v>
      </c>
      <c r="G18" s="537">
        <f t="shared" si="0"/>
        <v>97</v>
      </c>
      <c r="H18" s="537">
        <f t="shared" si="0"/>
        <v>97</v>
      </c>
      <c r="I18" s="537">
        <f t="shared" si="0"/>
        <v>87</v>
      </c>
      <c r="J18" s="537">
        <f t="shared" si="0"/>
        <v>87</v>
      </c>
      <c r="L18" s="74" t="s">
        <v>227</v>
      </c>
    </row>
    <row r="19" spans="1:12" s="1" customFormat="1" ht="12.75" x14ac:dyDescent="0.2">
      <c r="B19" s="87"/>
      <c r="C19" s="88"/>
      <c r="D19" s="88"/>
      <c r="E19" s="13"/>
    </row>
    <row r="20" spans="1:12" s="1" customFormat="1" ht="12.75" x14ac:dyDescent="0.2">
      <c r="D20" s="13"/>
      <c r="E20" s="13"/>
      <c r="F20" s="13"/>
      <c r="G20" s="13"/>
      <c r="H20" s="13"/>
      <c r="I20" s="13"/>
      <c r="J20" s="13"/>
      <c r="K20" s="11"/>
    </row>
    <row r="21" spans="1:12" s="161" customFormat="1" ht="15" customHeight="1" x14ac:dyDescent="0.25">
      <c r="A21" s="538" t="s">
        <v>290</v>
      </c>
      <c r="B21" s="539"/>
      <c r="C21" s="539"/>
      <c r="D21" s="540"/>
      <c r="E21" s="541"/>
      <c r="F21" s="542"/>
      <c r="G21" s="543"/>
      <c r="H21" s="543"/>
      <c r="I21" s="544"/>
      <c r="J21" s="545"/>
    </row>
    <row r="22" spans="1:12" s="74" customFormat="1" ht="12.75" customHeight="1" x14ac:dyDescent="0.25">
      <c r="A22" s="546"/>
      <c r="B22" s="547"/>
      <c r="C22" s="547"/>
      <c r="D22" s="548"/>
      <c r="E22" s="504" t="s">
        <v>66</v>
      </c>
      <c r="F22" s="96"/>
      <c r="G22" s="96"/>
      <c r="H22" s="97"/>
      <c r="I22" s="549" t="s">
        <v>67</v>
      </c>
      <c r="J22" s="99"/>
    </row>
    <row r="23" spans="1:12" s="74" customFormat="1" ht="45" x14ac:dyDescent="0.25">
      <c r="A23" s="550" t="s">
        <v>11</v>
      </c>
      <c r="B23" s="550" t="s">
        <v>12</v>
      </c>
      <c r="C23" s="550" t="s">
        <v>2</v>
      </c>
      <c r="D23" s="551" t="s">
        <v>5</v>
      </c>
      <c r="E23" s="552" t="s">
        <v>54</v>
      </c>
      <c r="F23" s="553" t="s">
        <v>68</v>
      </c>
      <c r="G23" s="552" t="s">
        <v>69</v>
      </c>
      <c r="H23" s="552" t="s">
        <v>70</v>
      </c>
      <c r="I23" s="554" t="s">
        <v>288</v>
      </c>
      <c r="J23" s="511" t="s">
        <v>352</v>
      </c>
    </row>
    <row r="24" spans="1:12" s="74" customFormat="1" x14ac:dyDescent="0.25">
      <c r="A24" s="555" t="s">
        <v>41</v>
      </c>
      <c r="B24" s="556"/>
      <c r="C24" s="557"/>
      <c r="D24" s="558">
        <v>21</v>
      </c>
      <c r="E24" s="558">
        <v>17</v>
      </c>
      <c r="F24" s="558">
        <v>17</v>
      </c>
      <c r="G24" s="558">
        <v>17</v>
      </c>
      <c r="H24" s="558">
        <v>17</v>
      </c>
      <c r="I24" s="558">
        <v>13</v>
      </c>
      <c r="J24" s="558">
        <v>13</v>
      </c>
    </row>
    <row r="25" spans="1:12" ht="15" customHeight="1" x14ac:dyDescent="0.25">
      <c r="A25" s="113" t="s">
        <v>361</v>
      </c>
      <c r="B25" s="113" t="s">
        <v>253</v>
      </c>
      <c r="C25" s="114" t="s">
        <v>209</v>
      </c>
      <c r="D25" s="115">
        <v>1092</v>
      </c>
      <c r="E25" s="559">
        <v>12971</v>
      </c>
      <c r="F25" s="560">
        <f t="shared" ref="F25:F35" si="1">+E25/D25</f>
        <v>11.878205128205128</v>
      </c>
      <c r="G25" s="561">
        <v>980</v>
      </c>
      <c r="H25" s="561">
        <v>9</v>
      </c>
      <c r="I25" s="562">
        <v>2002</v>
      </c>
      <c r="J25" s="563">
        <f>2022-I25</f>
        <v>20</v>
      </c>
    </row>
    <row r="26" spans="1:12" ht="15" customHeight="1" x14ac:dyDescent="0.25">
      <c r="A26" s="113" t="s">
        <v>163</v>
      </c>
      <c r="B26" s="113" t="s">
        <v>162</v>
      </c>
      <c r="C26" s="114" t="s">
        <v>209</v>
      </c>
      <c r="D26" s="115">
        <v>220</v>
      </c>
      <c r="E26" s="559">
        <v>6912</v>
      </c>
      <c r="F26" s="560">
        <f t="shared" si="1"/>
        <v>31.418181818181818</v>
      </c>
      <c r="G26" s="561">
        <v>86</v>
      </c>
      <c r="H26" s="561">
        <v>17</v>
      </c>
      <c r="I26" s="562">
        <v>2001</v>
      </c>
      <c r="J26" s="563">
        <f>2022-I26</f>
        <v>21</v>
      </c>
    </row>
    <row r="27" spans="1:12" ht="15" customHeight="1" x14ac:dyDescent="0.25">
      <c r="A27" s="113" t="s">
        <v>156</v>
      </c>
      <c r="B27" s="113" t="s">
        <v>236</v>
      </c>
      <c r="C27" s="114" t="s">
        <v>211</v>
      </c>
      <c r="D27" s="115">
        <v>153</v>
      </c>
      <c r="E27" s="559">
        <v>14009</v>
      </c>
      <c r="F27" s="560">
        <f t="shared" si="1"/>
        <v>91.562091503267979</v>
      </c>
      <c r="G27" s="561">
        <v>47</v>
      </c>
      <c r="H27" s="561">
        <v>26</v>
      </c>
      <c r="I27" s="562">
        <v>1999</v>
      </c>
      <c r="J27" s="563">
        <f>2022-I27</f>
        <v>23</v>
      </c>
    </row>
    <row r="28" spans="1:12" ht="15" customHeight="1" x14ac:dyDescent="0.25">
      <c r="A28" s="113" t="s">
        <v>362</v>
      </c>
      <c r="B28" s="113" t="s">
        <v>145</v>
      </c>
      <c r="C28" s="114" t="s">
        <v>211</v>
      </c>
      <c r="D28" s="115">
        <v>1152</v>
      </c>
      <c r="E28" s="559">
        <v>14916</v>
      </c>
      <c r="F28" s="560">
        <f t="shared" si="1"/>
        <v>12.947916666666666</v>
      </c>
      <c r="G28" s="561">
        <v>106</v>
      </c>
      <c r="H28" s="561">
        <v>7</v>
      </c>
      <c r="I28" s="562">
        <v>2005</v>
      </c>
      <c r="J28" s="563">
        <f>2022-I28</f>
        <v>17</v>
      </c>
    </row>
    <row r="29" spans="1:12" ht="15" customHeight="1" x14ac:dyDescent="0.25">
      <c r="A29" s="113" t="s">
        <v>362</v>
      </c>
      <c r="B29" s="113" t="s">
        <v>176</v>
      </c>
      <c r="C29" s="114" t="s">
        <v>209</v>
      </c>
      <c r="D29" s="115">
        <v>147</v>
      </c>
      <c r="E29" s="559">
        <v>5859</v>
      </c>
      <c r="F29" s="560">
        <f t="shared" si="1"/>
        <v>39.857142857142854</v>
      </c>
      <c r="G29" s="561">
        <v>8</v>
      </c>
      <c r="H29" s="561">
        <v>0</v>
      </c>
      <c r="I29" s="562">
        <v>2009</v>
      </c>
      <c r="J29" s="563">
        <f>2022-I29</f>
        <v>13</v>
      </c>
    </row>
    <row r="30" spans="1:12" ht="15" customHeight="1" x14ac:dyDescent="0.25">
      <c r="A30" s="113" t="s">
        <v>363</v>
      </c>
      <c r="B30" s="113" t="s">
        <v>355</v>
      </c>
      <c r="C30" s="114" t="s">
        <v>209</v>
      </c>
      <c r="D30" s="115">
        <v>422</v>
      </c>
      <c r="E30" s="126" t="s">
        <v>233</v>
      </c>
      <c r="F30" s="124" t="s">
        <v>233</v>
      </c>
      <c r="G30" s="564" t="s">
        <v>233</v>
      </c>
      <c r="H30" s="565" t="s">
        <v>233</v>
      </c>
      <c r="I30" s="566" t="s">
        <v>233</v>
      </c>
      <c r="J30" s="567" t="s">
        <v>233</v>
      </c>
    </row>
    <row r="31" spans="1:12" ht="15" customHeight="1" x14ac:dyDescent="0.25">
      <c r="A31" s="113" t="s">
        <v>148</v>
      </c>
      <c r="B31" s="113" t="s">
        <v>152</v>
      </c>
      <c r="C31" s="114" t="s">
        <v>209</v>
      </c>
      <c r="D31" s="115">
        <v>1557</v>
      </c>
      <c r="E31" s="559">
        <v>16040</v>
      </c>
      <c r="F31" s="560">
        <f t="shared" si="1"/>
        <v>10.301862556197817</v>
      </c>
      <c r="G31" s="561">
        <v>40</v>
      </c>
      <c r="H31" s="561">
        <v>24</v>
      </c>
      <c r="I31" s="562">
        <v>2009</v>
      </c>
      <c r="J31" s="563">
        <f>2022-I31</f>
        <v>13</v>
      </c>
    </row>
    <row r="32" spans="1:12" ht="15" customHeight="1" x14ac:dyDescent="0.25">
      <c r="A32" s="113" t="s">
        <v>148</v>
      </c>
      <c r="B32" s="113" t="s">
        <v>170</v>
      </c>
      <c r="C32" s="114" t="s">
        <v>209</v>
      </c>
      <c r="D32" s="115">
        <v>1228</v>
      </c>
      <c r="E32" s="559">
        <v>16673</v>
      </c>
      <c r="F32" s="560">
        <f t="shared" si="1"/>
        <v>13.577361563517915</v>
      </c>
      <c r="G32" s="561">
        <v>527</v>
      </c>
      <c r="H32" s="561">
        <v>2</v>
      </c>
      <c r="I32" s="562">
        <v>2008</v>
      </c>
      <c r="J32" s="563">
        <f>2022-I32</f>
        <v>14</v>
      </c>
    </row>
    <row r="33" spans="1:20" ht="15" customHeight="1" x14ac:dyDescent="0.25">
      <c r="A33" s="113" t="s">
        <v>148</v>
      </c>
      <c r="B33" s="113" t="s">
        <v>291</v>
      </c>
      <c r="C33" s="114" t="s">
        <v>209</v>
      </c>
      <c r="D33" s="115">
        <v>175</v>
      </c>
      <c r="E33" s="559">
        <v>5111</v>
      </c>
      <c r="F33" s="560">
        <f t="shared" si="1"/>
        <v>29.205714285714286</v>
      </c>
      <c r="G33" s="561">
        <v>198</v>
      </c>
      <c r="H33" s="561">
        <v>2</v>
      </c>
      <c r="I33" s="562">
        <v>2006</v>
      </c>
      <c r="J33" s="563">
        <f>2022-I33</f>
        <v>16</v>
      </c>
    </row>
    <row r="34" spans="1:20" ht="15" customHeight="1" x14ac:dyDescent="0.25">
      <c r="A34" s="113" t="s">
        <v>178</v>
      </c>
      <c r="B34" s="113" t="s">
        <v>206</v>
      </c>
      <c r="C34" s="114" t="s">
        <v>209</v>
      </c>
      <c r="D34" s="115">
        <v>862</v>
      </c>
      <c r="E34" s="559">
        <v>13000</v>
      </c>
      <c r="F34" s="560">
        <f t="shared" si="1"/>
        <v>15.081206496519721</v>
      </c>
      <c r="G34" s="561">
        <v>400</v>
      </c>
      <c r="H34" s="561">
        <v>1</v>
      </c>
      <c r="I34" s="562">
        <v>2001</v>
      </c>
      <c r="J34" s="563">
        <f>2022-I34</f>
        <v>21</v>
      </c>
    </row>
    <row r="35" spans="1:20" ht="15" customHeight="1" x14ac:dyDescent="0.25">
      <c r="A35" s="113" t="s">
        <v>364</v>
      </c>
      <c r="B35" s="113" t="s">
        <v>356</v>
      </c>
      <c r="C35" s="568" t="s">
        <v>209</v>
      </c>
      <c r="D35" s="115">
        <v>2017</v>
      </c>
      <c r="E35" s="559">
        <v>17436</v>
      </c>
      <c r="F35" s="569">
        <f t="shared" si="1"/>
        <v>8.644521566683192</v>
      </c>
      <c r="G35" s="561">
        <v>1609</v>
      </c>
      <c r="H35" s="561">
        <v>2</v>
      </c>
      <c r="I35" s="562">
        <v>2012</v>
      </c>
      <c r="J35" s="570">
        <f>2022-I35</f>
        <v>10</v>
      </c>
    </row>
    <row r="36" spans="1:20" ht="15" customHeight="1" x14ac:dyDescent="0.25">
      <c r="A36" s="113" t="s">
        <v>364</v>
      </c>
      <c r="B36" s="113" t="s">
        <v>237</v>
      </c>
      <c r="C36" s="568" t="s">
        <v>209</v>
      </c>
      <c r="D36" s="115">
        <v>235</v>
      </c>
      <c r="E36" s="126" t="s">
        <v>233</v>
      </c>
      <c r="F36" s="571" t="s">
        <v>233</v>
      </c>
      <c r="G36" s="565" t="s">
        <v>233</v>
      </c>
      <c r="H36" s="565" t="s">
        <v>233</v>
      </c>
      <c r="I36" s="566" t="s">
        <v>233</v>
      </c>
      <c r="J36" s="126" t="s">
        <v>233</v>
      </c>
    </row>
    <row r="37" spans="1:20" ht="15" customHeight="1" x14ac:dyDescent="0.25">
      <c r="A37" s="113" t="s">
        <v>149</v>
      </c>
      <c r="B37" s="113" t="s">
        <v>238</v>
      </c>
      <c r="C37" s="568" t="s">
        <v>209</v>
      </c>
      <c r="D37" s="115">
        <v>612</v>
      </c>
      <c r="E37" s="559">
        <v>6190</v>
      </c>
      <c r="F37" s="569">
        <f t="shared" ref="F37:F44" si="2">+E37/D37</f>
        <v>10.11437908496732</v>
      </c>
      <c r="G37" s="561">
        <v>900</v>
      </c>
      <c r="H37" s="561">
        <v>8</v>
      </c>
      <c r="I37" s="562">
        <v>2011</v>
      </c>
      <c r="J37" s="570">
        <f>2022-I37</f>
        <v>11</v>
      </c>
    </row>
    <row r="38" spans="1:20" ht="15" customHeight="1" x14ac:dyDescent="0.25">
      <c r="A38" s="113" t="s">
        <v>181</v>
      </c>
      <c r="B38" s="113" t="s">
        <v>208</v>
      </c>
      <c r="C38" s="568" t="s">
        <v>209</v>
      </c>
      <c r="D38" s="115">
        <v>274</v>
      </c>
      <c r="E38" s="559">
        <v>7602</v>
      </c>
      <c r="F38" s="569">
        <f t="shared" si="2"/>
        <v>27.744525547445257</v>
      </c>
      <c r="G38" s="561">
        <v>97</v>
      </c>
      <c r="H38" s="561">
        <v>1</v>
      </c>
      <c r="I38" s="566" t="s">
        <v>233</v>
      </c>
      <c r="J38" s="126" t="s">
        <v>233</v>
      </c>
    </row>
    <row r="39" spans="1:20" ht="15" customHeight="1" x14ac:dyDescent="0.25">
      <c r="A39" s="113" t="s">
        <v>143</v>
      </c>
      <c r="B39" s="113" t="s">
        <v>142</v>
      </c>
      <c r="C39" s="568" t="s">
        <v>209</v>
      </c>
      <c r="D39" s="115">
        <v>151</v>
      </c>
      <c r="E39" s="559">
        <v>4899</v>
      </c>
      <c r="F39" s="569">
        <f t="shared" si="2"/>
        <v>32.443708609271525</v>
      </c>
      <c r="G39" s="561">
        <v>50</v>
      </c>
      <c r="H39" s="561">
        <v>2</v>
      </c>
      <c r="I39" s="566" t="s">
        <v>233</v>
      </c>
      <c r="J39" s="126" t="s">
        <v>233</v>
      </c>
    </row>
    <row r="40" spans="1:20" ht="15" customHeight="1" x14ac:dyDescent="0.25">
      <c r="A40" s="113" t="s">
        <v>365</v>
      </c>
      <c r="B40" s="113" t="s">
        <v>158</v>
      </c>
      <c r="C40" s="568" t="s">
        <v>209</v>
      </c>
      <c r="D40" s="115">
        <v>794</v>
      </c>
      <c r="E40" s="559">
        <v>9829</v>
      </c>
      <c r="F40" s="569">
        <f t="shared" si="2"/>
        <v>12.379093198992443</v>
      </c>
      <c r="G40" s="561">
        <v>150</v>
      </c>
      <c r="H40" s="561">
        <v>5</v>
      </c>
      <c r="I40" s="562">
        <v>2015</v>
      </c>
      <c r="J40" s="570">
        <f>2022-I40</f>
        <v>7</v>
      </c>
    </row>
    <row r="41" spans="1:20" ht="15" customHeight="1" x14ac:dyDescent="0.25">
      <c r="A41" s="113" t="s">
        <v>365</v>
      </c>
      <c r="B41" s="113" t="s">
        <v>357</v>
      </c>
      <c r="C41" s="114" t="s">
        <v>209</v>
      </c>
      <c r="D41" s="115">
        <v>46</v>
      </c>
      <c r="E41" s="126" t="s">
        <v>233</v>
      </c>
      <c r="F41" s="124" t="s">
        <v>233</v>
      </c>
      <c r="G41" s="565" t="s">
        <v>233</v>
      </c>
      <c r="H41" s="565" t="s">
        <v>233</v>
      </c>
      <c r="I41" s="566" t="s">
        <v>233</v>
      </c>
      <c r="J41" s="567" t="s">
        <v>233</v>
      </c>
    </row>
    <row r="42" spans="1:20" ht="15" customHeight="1" x14ac:dyDescent="0.25">
      <c r="A42" s="113" t="s">
        <v>153</v>
      </c>
      <c r="B42" s="113" t="s">
        <v>235</v>
      </c>
      <c r="C42" s="114" t="s">
        <v>209</v>
      </c>
      <c r="D42" s="115">
        <v>774</v>
      </c>
      <c r="E42" s="559">
        <v>15933</v>
      </c>
      <c r="F42" s="560">
        <f t="shared" si="2"/>
        <v>20.585271317829456</v>
      </c>
      <c r="G42" s="561">
        <v>1751</v>
      </c>
      <c r="H42" s="561">
        <v>1</v>
      </c>
      <c r="I42" s="566" t="s">
        <v>233</v>
      </c>
      <c r="J42" s="567" t="s">
        <v>233</v>
      </c>
    </row>
    <row r="43" spans="1:20" ht="15" customHeight="1" x14ac:dyDescent="0.25">
      <c r="A43" s="113" t="s">
        <v>198</v>
      </c>
      <c r="B43" s="113" t="s">
        <v>358</v>
      </c>
      <c r="C43" s="114" t="s">
        <v>209</v>
      </c>
      <c r="D43" s="115">
        <v>230</v>
      </c>
      <c r="E43" s="559">
        <v>8000</v>
      </c>
      <c r="F43" s="560">
        <f t="shared" si="2"/>
        <v>34.782608695652172</v>
      </c>
      <c r="G43" s="565" t="s">
        <v>233</v>
      </c>
      <c r="H43" s="565" t="s">
        <v>233</v>
      </c>
      <c r="I43" s="566" t="s">
        <v>233</v>
      </c>
      <c r="J43" s="567" t="s">
        <v>233</v>
      </c>
    </row>
    <row r="44" spans="1:20" ht="15" customHeight="1" x14ac:dyDescent="0.25">
      <c r="A44" s="113" t="s">
        <v>174</v>
      </c>
      <c r="B44" s="113" t="s">
        <v>359</v>
      </c>
      <c r="C44" s="114" t="s">
        <v>209</v>
      </c>
      <c r="D44" s="115">
        <v>405</v>
      </c>
      <c r="E44" s="559">
        <v>12423</v>
      </c>
      <c r="F44" s="560">
        <f t="shared" si="2"/>
        <v>30.674074074074074</v>
      </c>
      <c r="G44" s="561">
        <v>127</v>
      </c>
      <c r="H44" s="561">
        <v>12</v>
      </c>
      <c r="I44" s="562">
        <v>1998</v>
      </c>
      <c r="J44" s="563">
        <f>2022-I44</f>
        <v>24</v>
      </c>
    </row>
    <row r="45" spans="1:20" ht="15" customHeight="1" x14ac:dyDescent="0.25">
      <c r="A45" s="113" t="s">
        <v>366</v>
      </c>
      <c r="B45" s="113" t="s">
        <v>360</v>
      </c>
      <c r="C45" s="114" t="s">
        <v>211</v>
      </c>
      <c r="D45" s="115">
        <v>237</v>
      </c>
      <c r="E45" s="126" t="s">
        <v>233</v>
      </c>
      <c r="F45" s="124" t="s">
        <v>233</v>
      </c>
      <c r="G45" s="561">
        <v>40</v>
      </c>
      <c r="H45" s="561">
        <v>16</v>
      </c>
      <c r="I45" s="566" t="s">
        <v>233</v>
      </c>
      <c r="J45" s="567" t="s">
        <v>233</v>
      </c>
    </row>
    <row r="46" spans="1:20" s="136" customFormat="1" x14ac:dyDescent="0.25">
      <c r="A46" s="572"/>
      <c r="B46" s="573"/>
      <c r="C46" s="574" t="s">
        <v>7</v>
      </c>
      <c r="D46" s="575">
        <f>SUM(D25:D45)</f>
        <v>12783</v>
      </c>
      <c r="E46" s="576">
        <f>SUM(E25:E45)</f>
        <v>187803</v>
      </c>
      <c r="F46" s="576"/>
      <c r="G46" s="576">
        <f>SUM(G25:G45)</f>
        <v>7116</v>
      </c>
      <c r="H46" s="577">
        <f>SUM(H25:H45)</f>
        <v>135</v>
      </c>
      <c r="I46" s="578"/>
      <c r="J46" s="579"/>
      <c r="L46" s="4"/>
      <c r="M46" s="4"/>
      <c r="N46" s="4"/>
      <c r="O46" s="4"/>
      <c r="P46" s="4"/>
      <c r="Q46" s="4"/>
      <c r="R46" s="4"/>
      <c r="S46" s="4"/>
      <c r="T46" s="4"/>
    </row>
    <row r="47" spans="1:20" s="142" customFormat="1" x14ac:dyDescent="0.25">
      <c r="A47" s="580"/>
      <c r="B47" s="581"/>
      <c r="C47" s="582" t="s">
        <v>8</v>
      </c>
      <c r="D47" s="583">
        <f t="shared" ref="D47:J47" si="3">AVERAGE(D25:D45)</f>
        <v>608.71428571428567</v>
      </c>
      <c r="E47" s="576">
        <f t="shared" si="3"/>
        <v>11047.235294117647</v>
      </c>
      <c r="F47" s="584">
        <f t="shared" si="3"/>
        <v>25.48222735119586</v>
      </c>
      <c r="G47" s="584">
        <f t="shared" si="3"/>
        <v>418.58823529411762</v>
      </c>
      <c r="H47" s="585">
        <f t="shared" si="3"/>
        <v>7.9411764705882355</v>
      </c>
      <c r="I47" s="586">
        <f t="shared" si="3"/>
        <v>2005.8461538461538</v>
      </c>
      <c r="J47" s="587">
        <f t="shared" si="3"/>
        <v>16.153846153846153</v>
      </c>
      <c r="L47" s="4"/>
      <c r="M47" s="4"/>
      <c r="N47" s="4"/>
      <c r="O47" s="4"/>
      <c r="P47" s="4"/>
      <c r="Q47" s="4"/>
      <c r="R47" s="4"/>
      <c r="S47" s="4"/>
      <c r="T47" s="4"/>
    </row>
    <row r="48" spans="1:20" s="142" customFormat="1" x14ac:dyDescent="0.25">
      <c r="A48" s="588"/>
      <c r="B48" s="589"/>
      <c r="C48" s="582" t="s">
        <v>9</v>
      </c>
      <c r="D48" s="583">
        <f t="shared" ref="D48:J48" si="4">MEDIAN(D25:D45)</f>
        <v>405</v>
      </c>
      <c r="E48" s="576">
        <f t="shared" si="4"/>
        <v>12423</v>
      </c>
      <c r="F48" s="590">
        <f t="shared" si="4"/>
        <v>20.585271317829456</v>
      </c>
      <c r="G48" s="584">
        <f t="shared" si="4"/>
        <v>127</v>
      </c>
      <c r="H48" s="585">
        <f t="shared" si="4"/>
        <v>5</v>
      </c>
      <c r="I48" s="591">
        <f>MEDIAN(I25:I45)</f>
        <v>2006</v>
      </c>
      <c r="J48" s="592">
        <f t="shared" si="4"/>
        <v>16</v>
      </c>
      <c r="L48" s="4"/>
      <c r="M48" s="4"/>
    </row>
    <row r="49" spans="1:14" x14ac:dyDescent="0.25">
      <c r="A49" s="1"/>
      <c r="B49" s="593"/>
      <c r="C49" s="594"/>
      <c r="D49" s="13"/>
      <c r="E49" s="13"/>
      <c r="F49" s="286"/>
      <c r="G49" s="13"/>
      <c r="H49" s="1"/>
      <c r="I49" s="1"/>
      <c r="J49" s="1"/>
    </row>
    <row r="50" spans="1:14" x14ac:dyDescent="0.25">
      <c r="A50" s="1"/>
      <c r="B50" s="593"/>
      <c r="C50" s="594"/>
      <c r="D50" s="13"/>
      <c r="E50" s="13"/>
      <c r="F50" s="286"/>
      <c r="G50" s="13"/>
      <c r="H50" s="1"/>
      <c r="I50" s="1"/>
      <c r="J50" s="1"/>
    </row>
    <row r="51" spans="1:14" s="161" customFormat="1" ht="15" customHeight="1" x14ac:dyDescent="0.25">
      <c r="A51" s="538" t="s">
        <v>668</v>
      </c>
      <c r="B51" s="539"/>
      <c r="C51" s="539"/>
      <c r="D51" s="540"/>
      <c r="E51" s="541"/>
      <c r="F51" s="542"/>
      <c r="G51" s="543"/>
      <c r="H51" s="543"/>
      <c r="I51" s="544"/>
      <c r="J51" s="545"/>
    </row>
    <row r="52" spans="1:14" s="74" customFormat="1" ht="12.75" customHeight="1" x14ac:dyDescent="0.25">
      <c r="A52" s="546"/>
      <c r="B52" s="547"/>
      <c r="C52" s="547"/>
      <c r="D52" s="548"/>
      <c r="E52" s="504" t="s">
        <v>66</v>
      </c>
      <c r="F52" s="96"/>
      <c r="G52" s="96"/>
      <c r="H52" s="97"/>
      <c r="I52" s="549" t="s">
        <v>67</v>
      </c>
      <c r="J52" s="99"/>
    </row>
    <row r="53" spans="1:14" s="74" customFormat="1" ht="45" x14ac:dyDescent="0.25">
      <c r="A53" s="550" t="s">
        <v>11</v>
      </c>
      <c r="B53" s="550" t="s">
        <v>12</v>
      </c>
      <c r="C53" s="550" t="s">
        <v>2</v>
      </c>
      <c r="D53" s="551" t="s">
        <v>5</v>
      </c>
      <c r="E53" s="552" t="s">
        <v>54</v>
      </c>
      <c r="F53" s="553" t="s">
        <v>68</v>
      </c>
      <c r="G53" s="552" t="s">
        <v>69</v>
      </c>
      <c r="H53" s="552" t="s">
        <v>70</v>
      </c>
      <c r="I53" s="554" t="s">
        <v>288</v>
      </c>
      <c r="J53" s="511" t="s">
        <v>352</v>
      </c>
      <c r="M53" s="4"/>
      <c r="N53" s="4"/>
    </row>
    <row r="54" spans="1:14" s="74" customFormat="1" x14ac:dyDescent="0.25">
      <c r="A54" s="555" t="s">
        <v>41</v>
      </c>
      <c r="B54" s="556"/>
      <c r="C54" s="557"/>
      <c r="D54" s="558">
        <v>6</v>
      </c>
      <c r="E54" s="558">
        <v>4</v>
      </c>
      <c r="F54" s="558">
        <v>4</v>
      </c>
      <c r="G54" s="558">
        <v>4</v>
      </c>
      <c r="H54" s="558">
        <v>4</v>
      </c>
      <c r="I54" s="558">
        <v>4</v>
      </c>
      <c r="J54" s="558">
        <v>4</v>
      </c>
      <c r="M54" s="4"/>
      <c r="N54" s="4"/>
    </row>
    <row r="55" spans="1:14" x14ac:dyDescent="0.25">
      <c r="A55" s="113" t="s">
        <v>362</v>
      </c>
      <c r="B55" s="113" t="s">
        <v>306</v>
      </c>
      <c r="C55" s="568" t="s">
        <v>210</v>
      </c>
      <c r="D55" s="115">
        <v>194</v>
      </c>
      <c r="E55" s="118">
        <v>11746</v>
      </c>
      <c r="F55" s="595">
        <f>E55/D55</f>
        <v>60.546391752577321</v>
      </c>
      <c r="G55" s="118">
        <v>0</v>
      </c>
      <c r="H55" s="118">
        <v>0</v>
      </c>
      <c r="I55" s="562">
        <v>1984</v>
      </c>
      <c r="J55" s="563">
        <f>2022-I55</f>
        <v>38</v>
      </c>
    </row>
    <row r="56" spans="1:14" x14ac:dyDescent="0.25">
      <c r="A56" s="113" t="s">
        <v>178</v>
      </c>
      <c r="B56" s="113" t="s">
        <v>413</v>
      </c>
      <c r="C56" s="568" t="s">
        <v>210</v>
      </c>
      <c r="D56" s="115">
        <v>106</v>
      </c>
      <c r="E56" s="118">
        <v>6279</v>
      </c>
      <c r="F56" s="560">
        <f>E56/D56</f>
        <v>59.235849056603776</v>
      </c>
      <c r="G56" s="118">
        <v>276</v>
      </c>
      <c r="H56" s="118">
        <v>24</v>
      </c>
      <c r="I56" s="562">
        <v>2008</v>
      </c>
      <c r="J56" s="563">
        <f>2022-I56</f>
        <v>14</v>
      </c>
    </row>
    <row r="57" spans="1:14" x14ac:dyDescent="0.25">
      <c r="A57" s="113" t="s">
        <v>417</v>
      </c>
      <c r="B57" s="113" t="s">
        <v>414</v>
      </c>
      <c r="C57" s="568" t="s">
        <v>210</v>
      </c>
      <c r="D57" s="115">
        <v>182</v>
      </c>
      <c r="E57" s="122" t="s">
        <v>233</v>
      </c>
      <c r="F57" s="124" t="s">
        <v>233</v>
      </c>
      <c r="G57" s="122" t="s">
        <v>233</v>
      </c>
      <c r="H57" s="122" t="s">
        <v>233</v>
      </c>
      <c r="I57" s="122" t="s">
        <v>233</v>
      </c>
      <c r="J57" s="567" t="s">
        <v>233</v>
      </c>
    </row>
    <row r="58" spans="1:14" x14ac:dyDescent="0.25">
      <c r="A58" s="113" t="s">
        <v>157</v>
      </c>
      <c r="B58" s="113" t="s">
        <v>415</v>
      </c>
      <c r="C58" s="568" t="s">
        <v>210</v>
      </c>
      <c r="D58" s="115">
        <v>83</v>
      </c>
      <c r="E58" s="118">
        <v>10932</v>
      </c>
      <c r="F58" s="595">
        <f>E58/D58</f>
        <v>131.71084337349399</v>
      </c>
      <c r="G58" s="118">
        <v>48</v>
      </c>
      <c r="H58" s="118">
        <v>1</v>
      </c>
      <c r="I58" s="562">
        <v>1989</v>
      </c>
      <c r="J58" s="563">
        <f>2022-I58</f>
        <v>33</v>
      </c>
    </row>
    <row r="59" spans="1:14" x14ac:dyDescent="0.25">
      <c r="A59" s="113" t="s">
        <v>418</v>
      </c>
      <c r="B59" s="113" t="s">
        <v>416</v>
      </c>
      <c r="C59" s="568" t="s">
        <v>211</v>
      </c>
      <c r="D59" s="115">
        <v>212</v>
      </c>
      <c r="E59" s="122" t="s">
        <v>233</v>
      </c>
      <c r="F59" s="571" t="s">
        <v>233</v>
      </c>
      <c r="G59" s="122" t="s">
        <v>233</v>
      </c>
      <c r="H59" s="125" t="s">
        <v>233</v>
      </c>
      <c r="I59" s="122" t="s">
        <v>233</v>
      </c>
      <c r="J59" s="126" t="s">
        <v>233</v>
      </c>
    </row>
    <row r="60" spans="1:14" x14ac:dyDescent="0.25">
      <c r="A60" s="113" t="s">
        <v>179</v>
      </c>
      <c r="B60" s="113" t="s">
        <v>412</v>
      </c>
      <c r="C60" s="568" t="s">
        <v>211</v>
      </c>
      <c r="D60" s="115">
        <v>280</v>
      </c>
      <c r="E60" s="118">
        <v>3660</v>
      </c>
      <c r="F60" s="569">
        <f>E60/D60</f>
        <v>13.071428571428571</v>
      </c>
      <c r="G60" s="118">
        <v>0</v>
      </c>
      <c r="H60" s="118">
        <v>12</v>
      </c>
      <c r="I60" s="562">
        <v>1980</v>
      </c>
      <c r="J60" s="570">
        <f>2022-I60</f>
        <v>42</v>
      </c>
    </row>
    <row r="61" spans="1:14" s="136" customFormat="1" x14ac:dyDescent="0.25">
      <c r="A61" s="572"/>
      <c r="B61" s="573"/>
      <c r="C61" s="574" t="s">
        <v>7</v>
      </c>
      <c r="D61" s="575">
        <f>SUM(D55:D60)</f>
        <v>1057</v>
      </c>
      <c r="E61" s="576">
        <f>SUM(E55:E60)</f>
        <v>32617</v>
      </c>
      <c r="F61" s="576"/>
      <c r="G61" s="577">
        <f>SUM(G55:G60)</f>
        <v>324</v>
      </c>
      <c r="H61" s="576">
        <f>SUM(H55:H60)</f>
        <v>37</v>
      </c>
      <c r="I61" s="578"/>
      <c r="J61" s="579" t="s">
        <v>232</v>
      </c>
      <c r="L61" s="4"/>
      <c r="M61" s="4"/>
      <c r="N61" s="4"/>
    </row>
    <row r="62" spans="1:14" s="142" customFormat="1" x14ac:dyDescent="0.25">
      <c r="A62" s="580"/>
      <c r="B62" s="581"/>
      <c r="C62" s="582" t="s">
        <v>8</v>
      </c>
      <c r="D62" s="583">
        <f t="shared" ref="D62:J62" si="5">AVERAGE(D55:D60)</f>
        <v>176.16666666666666</v>
      </c>
      <c r="E62" s="575">
        <f t="shared" si="5"/>
        <v>8154.25</v>
      </c>
      <c r="F62" s="584">
        <f t="shared" si="5"/>
        <v>66.141128188525911</v>
      </c>
      <c r="G62" s="585">
        <f t="shared" si="5"/>
        <v>81</v>
      </c>
      <c r="H62" s="584">
        <f t="shared" si="5"/>
        <v>9.25</v>
      </c>
      <c r="I62" s="596">
        <f t="shared" si="5"/>
        <v>1990.25</v>
      </c>
      <c r="J62" s="591">
        <f t="shared" si="5"/>
        <v>31.75</v>
      </c>
      <c r="L62" s="4"/>
      <c r="M62" s="4"/>
      <c r="N62" s="4"/>
    </row>
    <row r="63" spans="1:14" s="142" customFormat="1" x14ac:dyDescent="0.25">
      <c r="A63" s="588"/>
      <c r="B63" s="589"/>
      <c r="C63" s="582" t="s">
        <v>9</v>
      </c>
      <c r="D63" s="583">
        <f t="shared" ref="D63:H63" si="6">MEDIAN(D55:D60)</f>
        <v>188</v>
      </c>
      <c r="E63" s="575">
        <f t="shared" si="6"/>
        <v>8605.5</v>
      </c>
      <c r="F63" s="590">
        <f t="shared" si="6"/>
        <v>59.891120404590552</v>
      </c>
      <c r="G63" s="592">
        <f t="shared" si="6"/>
        <v>24</v>
      </c>
      <c r="H63" s="590">
        <f t="shared" si="6"/>
        <v>6.5</v>
      </c>
      <c r="I63" s="591">
        <f>MEDIAN(I55:I60)</f>
        <v>1986.5</v>
      </c>
      <c r="J63" s="591">
        <f>MEDIAN(J55:J60)</f>
        <v>35.5</v>
      </c>
      <c r="L63" s="4"/>
      <c r="M63" s="4"/>
      <c r="N63" s="4"/>
    </row>
    <row r="64" spans="1:14" x14ac:dyDescent="0.25">
      <c r="A64" s="1"/>
      <c r="B64" s="593"/>
      <c r="C64" s="594"/>
      <c r="D64" s="13"/>
      <c r="E64" s="13"/>
      <c r="F64" s="286"/>
      <c r="G64" s="13"/>
      <c r="H64" s="1"/>
      <c r="I64" s="1"/>
      <c r="J64" s="1"/>
    </row>
    <row r="65" spans="1:14" x14ac:dyDescent="0.25">
      <c r="A65" s="1"/>
      <c r="B65" s="593"/>
      <c r="C65" s="594"/>
      <c r="D65" s="13"/>
      <c r="E65" s="13"/>
      <c r="F65" s="286"/>
      <c r="G65" s="13"/>
      <c r="H65" s="1"/>
      <c r="I65" s="1"/>
      <c r="J65" s="1"/>
    </row>
    <row r="66" spans="1:14" s="161" customFormat="1" ht="15" customHeight="1" x14ac:dyDescent="0.25">
      <c r="A66" s="538" t="s">
        <v>669</v>
      </c>
      <c r="B66" s="539"/>
      <c r="C66" s="539"/>
      <c r="D66" s="540"/>
      <c r="E66" s="541"/>
      <c r="F66" s="542"/>
      <c r="G66" s="543"/>
      <c r="H66" s="543"/>
      <c r="I66" s="544"/>
      <c r="J66" s="545"/>
      <c r="M66" s="4"/>
      <c r="N66" s="4"/>
    </row>
    <row r="67" spans="1:14" s="74" customFormat="1" ht="12.75" customHeight="1" x14ac:dyDescent="0.25">
      <c r="A67" s="546"/>
      <c r="B67" s="547"/>
      <c r="C67" s="547"/>
      <c r="D67" s="548"/>
      <c r="E67" s="504" t="s">
        <v>66</v>
      </c>
      <c r="F67" s="96"/>
      <c r="G67" s="96"/>
      <c r="H67" s="97"/>
      <c r="I67" s="549" t="s">
        <v>67</v>
      </c>
      <c r="J67" s="99"/>
      <c r="M67" s="4"/>
      <c r="N67" s="4"/>
    </row>
    <row r="68" spans="1:14" s="74" customFormat="1" ht="45" x14ac:dyDescent="0.25">
      <c r="A68" s="550" t="s">
        <v>11</v>
      </c>
      <c r="B68" s="550" t="s">
        <v>12</v>
      </c>
      <c r="C68" s="550" t="s">
        <v>2</v>
      </c>
      <c r="D68" s="551" t="s">
        <v>5</v>
      </c>
      <c r="E68" s="552" t="s">
        <v>54</v>
      </c>
      <c r="F68" s="553" t="s">
        <v>68</v>
      </c>
      <c r="G68" s="552" t="s">
        <v>69</v>
      </c>
      <c r="H68" s="552" t="s">
        <v>70</v>
      </c>
      <c r="I68" s="554" t="s">
        <v>288</v>
      </c>
      <c r="J68" s="511" t="s">
        <v>352</v>
      </c>
      <c r="M68" s="4"/>
      <c r="N68" s="4"/>
    </row>
    <row r="69" spans="1:14" s="74" customFormat="1" x14ac:dyDescent="0.25">
      <c r="A69" s="555" t="s">
        <v>41</v>
      </c>
      <c r="B69" s="556"/>
      <c r="C69" s="557"/>
      <c r="D69" s="558">
        <v>4</v>
      </c>
      <c r="E69" s="558">
        <v>4</v>
      </c>
      <c r="F69" s="558">
        <v>4</v>
      </c>
      <c r="G69" s="558">
        <v>4</v>
      </c>
      <c r="H69" s="558">
        <v>4</v>
      </c>
      <c r="I69" s="558">
        <v>4</v>
      </c>
      <c r="J69" s="558">
        <v>4</v>
      </c>
      <c r="M69" s="4"/>
      <c r="N69" s="4"/>
    </row>
    <row r="70" spans="1:14" x14ac:dyDescent="0.25">
      <c r="A70" s="113" t="s">
        <v>180</v>
      </c>
      <c r="B70" s="113" t="s">
        <v>441</v>
      </c>
      <c r="C70" s="597" t="s">
        <v>449</v>
      </c>
      <c r="D70" s="200">
        <v>236</v>
      </c>
      <c r="E70" s="173">
        <v>21301</v>
      </c>
      <c r="F70" s="117">
        <f>+E70/D70</f>
        <v>90.258474576271183</v>
      </c>
      <c r="G70" s="598">
        <v>0</v>
      </c>
      <c r="H70" s="597">
        <v>6</v>
      </c>
      <c r="I70" s="562">
        <v>2000</v>
      </c>
      <c r="J70" s="599">
        <f>2022-I70</f>
        <v>22</v>
      </c>
    </row>
    <row r="71" spans="1:14" x14ac:dyDescent="0.25">
      <c r="A71" s="113" t="s">
        <v>417</v>
      </c>
      <c r="B71" s="113" t="s">
        <v>205</v>
      </c>
      <c r="C71" s="597" t="s">
        <v>212</v>
      </c>
      <c r="D71" s="200">
        <v>168</v>
      </c>
      <c r="E71" s="173">
        <v>10397</v>
      </c>
      <c r="F71" s="595">
        <f>+E71/D71</f>
        <v>61.886904761904759</v>
      </c>
      <c r="G71" s="118">
        <v>503</v>
      </c>
      <c r="H71" s="597">
        <v>10</v>
      </c>
      <c r="I71" s="562">
        <v>1997</v>
      </c>
      <c r="J71" s="563">
        <f>2022-I71</f>
        <v>25</v>
      </c>
    </row>
    <row r="72" spans="1:14" x14ac:dyDescent="0.25">
      <c r="A72" s="113" t="s">
        <v>443</v>
      </c>
      <c r="B72" s="113" t="s">
        <v>442</v>
      </c>
      <c r="C72" s="597" t="s">
        <v>212</v>
      </c>
      <c r="D72" s="200">
        <v>89</v>
      </c>
      <c r="E72" s="173">
        <v>13820</v>
      </c>
      <c r="F72" s="569">
        <f>+E72/D72</f>
        <v>155.28089887640451</v>
      </c>
      <c r="G72" s="118">
        <v>774</v>
      </c>
      <c r="H72" s="597">
        <v>4</v>
      </c>
      <c r="I72" s="562">
        <v>2008</v>
      </c>
      <c r="J72" s="570">
        <f>2022-I72</f>
        <v>14</v>
      </c>
    </row>
    <row r="73" spans="1:14" x14ac:dyDescent="0.25">
      <c r="A73" s="113" t="s">
        <v>181</v>
      </c>
      <c r="B73" s="113" t="s">
        <v>434</v>
      </c>
      <c r="C73" s="597" t="s">
        <v>212</v>
      </c>
      <c r="D73" s="200">
        <v>36</v>
      </c>
      <c r="E73" s="173">
        <v>24500</v>
      </c>
      <c r="F73" s="600">
        <f t="shared" ref="F73" si="7">+E73/D73</f>
        <v>680.55555555555554</v>
      </c>
      <c r="G73" s="118">
        <v>5</v>
      </c>
      <c r="H73" s="597">
        <v>0</v>
      </c>
      <c r="I73" s="562">
        <v>1978</v>
      </c>
      <c r="J73" s="570">
        <f>2022-I73</f>
        <v>44</v>
      </c>
    </row>
    <row r="74" spans="1:14" s="136" customFormat="1" x14ac:dyDescent="0.25">
      <c r="A74" s="572"/>
      <c r="B74" s="573"/>
      <c r="C74" s="574" t="s">
        <v>7</v>
      </c>
      <c r="D74" s="575">
        <f>SUM(D70:D73)</f>
        <v>529</v>
      </c>
      <c r="E74" s="577">
        <f>SUM(E70:E73)</f>
        <v>70018</v>
      </c>
      <c r="F74" s="576"/>
      <c r="G74" s="577">
        <f>SUM(G70:G73)</f>
        <v>1282</v>
      </c>
      <c r="H74" s="577">
        <f>SUM(H70:H73)</f>
        <v>20</v>
      </c>
      <c r="I74" s="578"/>
      <c r="J74" s="579"/>
      <c r="L74" s="4"/>
      <c r="M74" s="4"/>
      <c r="N74" s="4"/>
    </row>
    <row r="75" spans="1:14" s="142" customFormat="1" x14ac:dyDescent="0.25">
      <c r="A75" s="580"/>
      <c r="B75" s="581"/>
      <c r="C75" s="582" t="s">
        <v>8</v>
      </c>
      <c r="D75" s="575">
        <f t="shared" ref="D75:J75" si="8">AVERAGE(D70:D73)</f>
        <v>132.25</v>
      </c>
      <c r="E75" s="587">
        <f t="shared" si="8"/>
        <v>17504.5</v>
      </c>
      <c r="F75" s="584">
        <f t="shared" si="8"/>
        <v>246.99545844253399</v>
      </c>
      <c r="G75" s="585">
        <f t="shared" si="8"/>
        <v>320.5</v>
      </c>
      <c r="H75" s="585">
        <f t="shared" si="8"/>
        <v>5</v>
      </c>
      <c r="I75" s="596">
        <f t="shared" si="8"/>
        <v>1995.75</v>
      </c>
      <c r="J75" s="591">
        <f t="shared" si="8"/>
        <v>26.25</v>
      </c>
      <c r="L75" s="4"/>
      <c r="M75" s="4"/>
      <c r="N75" s="4"/>
    </row>
    <row r="76" spans="1:14" s="142" customFormat="1" x14ac:dyDescent="0.25">
      <c r="A76" s="588"/>
      <c r="B76" s="589"/>
      <c r="C76" s="582" t="s">
        <v>9</v>
      </c>
      <c r="D76" s="575">
        <f t="shared" ref="D76:J76" si="9">MEDIAN(D70:D73)</f>
        <v>128.5</v>
      </c>
      <c r="E76" s="587">
        <f t="shared" si="9"/>
        <v>17560.5</v>
      </c>
      <c r="F76" s="590">
        <f t="shared" si="9"/>
        <v>122.76968672633785</v>
      </c>
      <c r="G76" s="601">
        <f t="shared" si="9"/>
        <v>254</v>
      </c>
      <c r="H76" s="601">
        <f t="shared" si="9"/>
        <v>5</v>
      </c>
      <c r="I76" s="591">
        <f t="shared" si="9"/>
        <v>1998.5</v>
      </c>
      <c r="J76" s="591">
        <f t="shared" si="9"/>
        <v>23.5</v>
      </c>
      <c r="L76" s="4"/>
      <c r="M76" s="4"/>
      <c r="N76" s="4"/>
    </row>
    <row r="77" spans="1:14" x14ac:dyDescent="0.25">
      <c r="A77" s="1"/>
      <c r="B77" s="593"/>
      <c r="C77" s="594"/>
      <c r="D77" s="13"/>
      <c r="E77" s="13"/>
      <c r="F77" s="286"/>
      <c r="G77" s="13"/>
      <c r="H77" s="1"/>
      <c r="I77" s="1"/>
      <c r="J77" s="1"/>
    </row>
    <row r="78" spans="1:14" x14ac:dyDescent="0.25">
      <c r="A78" s="1"/>
      <c r="B78" s="593"/>
      <c r="C78" s="594"/>
      <c r="D78" s="13"/>
      <c r="E78" s="13"/>
      <c r="F78" s="286"/>
      <c r="G78" s="13"/>
      <c r="H78" s="1"/>
      <c r="I78" s="1"/>
      <c r="J78" s="1"/>
    </row>
    <row r="79" spans="1:14" s="161" customFormat="1" ht="15" customHeight="1" x14ac:dyDescent="0.25">
      <c r="A79" s="538" t="s">
        <v>673</v>
      </c>
      <c r="B79" s="539"/>
      <c r="C79" s="539"/>
      <c r="D79" s="540"/>
      <c r="E79" s="541"/>
      <c r="F79" s="542"/>
      <c r="G79" s="543"/>
      <c r="H79" s="543"/>
      <c r="I79" s="544"/>
      <c r="J79" s="545"/>
      <c r="M79" s="4"/>
      <c r="N79" s="4"/>
    </row>
    <row r="80" spans="1:14" s="74" customFormat="1" ht="12.75" customHeight="1" x14ac:dyDescent="0.25">
      <c r="A80" s="602"/>
      <c r="B80" s="603"/>
      <c r="C80" s="603"/>
      <c r="D80" s="604"/>
      <c r="E80" s="504" t="s">
        <v>66</v>
      </c>
      <c r="F80" s="96"/>
      <c r="G80" s="96"/>
      <c r="H80" s="97"/>
      <c r="I80" s="549" t="s">
        <v>67</v>
      </c>
      <c r="J80" s="99"/>
      <c r="M80" s="4"/>
      <c r="N80" s="4"/>
    </row>
    <row r="81" spans="1:14" s="74" customFormat="1" ht="45" x14ac:dyDescent="0.25">
      <c r="A81" s="100" t="s">
        <v>11</v>
      </c>
      <c r="B81" s="100" t="s">
        <v>12</v>
      </c>
      <c r="C81" s="100" t="s">
        <v>2</v>
      </c>
      <c r="D81" s="102" t="s">
        <v>5</v>
      </c>
      <c r="E81" s="552" t="s">
        <v>54</v>
      </c>
      <c r="F81" s="553" t="s">
        <v>68</v>
      </c>
      <c r="G81" s="552" t="s">
        <v>69</v>
      </c>
      <c r="H81" s="552" t="s">
        <v>70</v>
      </c>
      <c r="I81" s="554" t="s">
        <v>288</v>
      </c>
      <c r="J81" s="511" t="s">
        <v>352</v>
      </c>
      <c r="M81" s="4"/>
      <c r="N81" s="4"/>
    </row>
    <row r="82" spans="1:14" s="74" customFormat="1" x14ac:dyDescent="0.25">
      <c r="A82" s="109" t="s">
        <v>41</v>
      </c>
      <c r="B82" s="110"/>
      <c r="C82" s="111"/>
      <c r="D82" s="112">
        <v>14</v>
      </c>
      <c r="E82" s="112">
        <v>13</v>
      </c>
      <c r="F82" s="112">
        <v>13</v>
      </c>
      <c r="G82" s="112">
        <v>13</v>
      </c>
      <c r="H82" s="112">
        <v>13</v>
      </c>
      <c r="I82" s="112">
        <v>13</v>
      </c>
      <c r="J82" s="112">
        <v>13</v>
      </c>
      <c r="M82" s="4"/>
      <c r="N82" s="4"/>
    </row>
    <row r="83" spans="1:14" x14ac:dyDescent="0.25">
      <c r="A83" s="113" t="s">
        <v>361</v>
      </c>
      <c r="B83" s="113" t="s">
        <v>503</v>
      </c>
      <c r="C83" s="206" t="s">
        <v>213</v>
      </c>
      <c r="D83" s="200">
        <v>719</v>
      </c>
      <c r="E83" s="570">
        <v>11095</v>
      </c>
      <c r="F83" s="117">
        <f t="shared" ref="F83:F95" si="10">+E83/D83</f>
        <v>15.431154381084839</v>
      </c>
      <c r="G83" s="570">
        <v>0</v>
      </c>
      <c r="H83" s="570">
        <v>10</v>
      </c>
      <c r="I83" s="562">
        <v>2000</v>
      </c>
      <c r="J83" s="599">
        <f>2022-I83</f>
        <v>22</v>
      </c>
    </row>
    <row r="84" spans="1:14" x14ac:dyDescent="0.25">
      <c r="A84" s="113" t="s">
        <v>163</v>
      </c>
      <c r="B84" s="113" t="s">
        <v>164</v>
      </c>
      <c r="C84" s="206" t="s">
        <v>213</v>
      </c>
      <c r="D84" s="200">
        <v>173</v>
      </c>
      <c r="E84" s="570">
        <v>9601</v>
      </c>
      <c r="F84" s="117">
        <f>+E84/D84</f>
        <v>55.497109826589593</v>
      </c>
      <c r="G84" s="570">
        <v>369</v>
      </c>
      <c r="H84" s="570">
        <v>9</v>
      </c>
      <c r="I84" s="562">
        <v>1999</v>
      </c>
      <c r="J84" s="605">
        <f>2022-I84</f>
        <v>23</v>
      </c>
    </row>
    <row r="85" spans="1:14" x14ac:dyDescent="0.25">
      <c r="A85" s="113" t="s">
        <v>148</v>
      </c>
      <c r="B85" s="113" t="s">
        <v>504</v>
      </c>
      <c r="C85" s="206" t="s">
        <v>214</v>
      </c>
      <c r="D85" s="200">
        <v>890</v>
      </c>
      <c r="E85" s="570">
        <v>10502</v>
      </c>
      <c r="F85" s="117">
        <f t="shared" si="10"/>
        <v>11.8</v>
      </c>
      <c r="G85" s="570">
        <v>733</v>
      </c>
      <c r="H85" s="570">
        <v>22</v>
      </c>
      <c r="I85" s="562">
        <v>1998</v>
      </c>
      <c r="J85" s="605">
        <f>2022-I85</f>
        <v>24</v>
      </c>
    </row>
    <row r="86" spans="1:14" x14ac:dyDescent="0.25">
      <c r="A86" s="113" t="s">
        <v>148</v>
      </c>
      <c r="B86" s="113" t="s">
        <v>505</v>
      </c>
      <c r="C86" s="206" t="s">
        <v>214</v>
      </c>
      <c r="D86" s="200">
        <v>717</v>
      </c>
      <c r="E86" s="570">
        <v>13000</v>
      </c>
      <c r="F86" s="117">
        <f t="shared" si="10"/>
        <v>18.131101813110181</v>
      </c>
      <c r="G86" s="570">
        <v>500</v>
      </c>
      <c r="H86" s="570">
        <v>24</v>
      </c>
      <c r="I86" s="562">
        <v>2006</v>
      </c>
      <c r="J86" s="599">
        <f>2022-I86</f>
        <v>16</v>
      </c>
    </row>
    <row r="87" spans="1:14" x14ac:dyDescent="0.25">
      <c r="A87" s="113" t="s">
        <v>178</v>
      </c>
      <c r="B87" s="113" t="s">
        <v>243</v>
      </c>
      <c r="C87" s="206" t="s">
        <v>214</v>
      </c>
      <c r="D87" s="200">
        <v>470</v>
      </c>
      <c r="E87" s="570">
        <v>14000</v>
      </c>
      <c r="F87" s="117">
        <f t="shared" si="10"/>
        <v>29.787234042553191</v>
      </c>
      <c r="G87" s="570">
        <v>500</v>
      </c>
      <c r="H87" s="570">
        <v>25</v>
      </c>
      <c r="I87" s="598" t="s">
        <v>233</v>
      </c>
      <c r="J87" s="605" t="s">
        <v>233</v>
      </c>
    </row>
    <row r="88" spans="1:14" x14ac:dyDescent="0.25">
      <c r="A88" s="113" t="s">
        <v>364</v>
      </c>
      <c r="B88" s="113" t="s">
        <v>450</v>
      </c>
      <c r="C88" s="206" t="s">
        <v>213</v>
      </c>
      <c r="D88" s="200">
        <v>447</v>
      </c>
      <c r="E88" s="570">
        <v>8387</v>
      </c>
      <c r="F88" s="117">
        <f t="shared" si="10"/>
        <v>18.762863534675617</v>
      </c>
      <c r="G88" s="570">
        <v>3483</v>
      </c>
      <c r="H88" s="570">
        <v>0</v>
      </c>
      <c r="I88" s="562">
        <v>2010</v>
      </c>
      <c r="J88" s="605">
        <f>2022-I88</f>
        <v>12</v>
      </c>
    </row>
    <row r="89" spans="1:14" x14ac:dyDescent="0.25">
      <c r="A89" s="113" t="s">
        <v>364</v>
      </c>
      <c r="B89" s="113" t="s">
        <v>506</v>
      </c>
      <c r="C89" s="206" t="s">
        <v>213</v>
      </c>
      <c r="D89" s="200">
        <v>792</v>
      </c>
      <c r="E89" s="570">
        <v>12174</v>
      </c>
      <c r="F89" s="117">
        <f>+E89/D89</f>
        <v>15.371212121212121</v>
      </c>
      <c r="G89" s="570">
        <v>0</v>
      </c>
      <c r="H89" s="570">
        <v>0</v>
      </c>
      <c r="I89" s="562">
        <v>2008</v>
      </c>
      <c r="J89" s="605">
        <f>2022-I89</f>
        <v>14</v>
      </c>
    </row>
    <row r="90" spans="1:14" x14ac:dyDescent="0.25">
      <c r="A90" s="113" t="s">
        <v>364</v>
      </c>
      <c r="B90" s="113" t="s">
        <v>507</v>
      </c>
      <c r="C90" s="206" t="s">
        <v>213</v>
      </c>
      <c r="D90" s="200">
        <v>767</v>
      </c>
      <c r="E90" s="570">
        <v>11694</v>
      </c>
      <c r="F90" s="117">
        <f t="shared" si="10"/>
        <v>15.246414602346805</v>
      </c>
      <c r="G90" s="570">
        <v>934</v>
      </c>
      <c r="H90" s="570">
        <v>0</v>
      </c>
      <c r="I90" s="562">
        <v>2010</v>
      </c>
      <c r="J90" s="605">
        <f>2022-I90</f>
        <v>12</v>
      </c>
    </row>
    <row r="91" spans="1:14" x14ac:dyDescent="0.25">
      <c r="A91" s="113" t="s">
        <v>149</v>
      </c>
      <c r="B91" s="113" t="s">
        <v>312</v>
      </c>
      <c r="C91" s="206" t="s">
        <v>213</v>
      </c>
      <c r="D91" s="200">
        <v>466</v>
      </c>
      <c r="E91" s="570">
        <v>6456</v>
      </c>
      <c r="F91" s="117">
        <f t="shared" si="10"/>
        <v>13.854077253218884</v>
      </c>
      <c r="G91" s="570">
        <v>400</v>
      </c>
      <c r="H91" s="570">
        <v>15</v>
      </c>
      <c r="I91" s="562">
        <v>2009</v>
      </c>
      <c r="J91" s="605">
        <f>2022-I91</f>
        <v>13</v>
      </c>
    </row>
    <row r="92" spans="1:14" x14ac:dyDescent="0.25">
      <c r="A92" s="113" t="s">
        <v>183</v>
      </c>
      <c r="B92" s="113" t="s">
        <v>244</v>
      </c>
      <c r="C92" s="206" t="s">
        <v>213</v>
      </c>
      <c r="D92" s="200">
        <v>869</v>
      </c>
      <c r="E92" s="126" t="s">
        <v>233</v>
      </c>
      <c r="F92" s="124" t="s">
        <v>233</v>
      </c>
      <c r="G92" s="126" t="s">
        <v>233</v>
      </c>
      <c r="H92" s="126" t="s">
        <v>233</v>
      </c>
      <c r="I92" s="122" t="s">
        <v>233</v>
      </c>
      <c r="J92" s="567" t="s">
        <v>233</v>
      </c>
    </row>
    <row r="93" spans="1:14" x14ac:dyDescent="0.25">
      <c r="A93" s="113" t="s">
        <v>143</v>
      </c>
      <c r="B93" s="113" t="s">
        <v>508</v>
      </c>
      <c r="C93" s="206" t="s">
        <v>213</v>
      </c>
      <c r="D93" s="200">
        <v>105</v>
      </c>
      <c r="E93" s="570">
        <v>4576</v>
      </c>
      <c r="F93" s="117">
        <f t="shared" si="10"/>
        <v>43.580952380952382</v>
      </c>
      <c r="G93" s="570">
        <v>40</v>
      </c>
      <c r="H93" s="570">
        <v>5</v>
      </c>
      <c r="I93" s="562">
        <v>2002</v>
      </c>
      <c r="J93" s="605">
        <f>2022-I93</f>
        <v>20</v>
      </c>
    </row>
    <row r="94" spans="1:14" x14ac:dyDescent="0.25">
      <c r="A94" s="113" t="s">
        <v>257</v>
      </c>
      <c r="B94" s="113" t="s">
        <v>509</v>
      </c>
      <c r="C94" s="206" t="s">
        <v>214</v>
      </c>
      <c r="D94" s="200">
        <v>799</v>
      </c>
      <c r="E94" s="570">
        <v>23415</v>
      </c>
      <c r="F94" s="117">
        <f t="shared" si="10"/>
        <v>29.305381727158949</v>
      </c>
      <c r="G94" s="570">
        <v>0</v>
      </c>
      <c r="H94" s="570">
        <v>0</v>
      </c>
      <c r="I94" s="562">
        <v>1999</v>
      </c>
      <c r="J94" s="605">
        <f>2022-I94</f>
        <v>23</v>
      </c>
    </row>
    <row r="95" spans="1:14" x14ac:dyDescent="0.25">
      <c r="A95" s="113" t="s">
        <v>365</v>
      </c>
      <c r="B95" s="113" t="s">
        <v>313</v>
      </c>
      <c r="C95" s="206" t="s">
        <v>213</v>
      </c>
      <c r="D95" s="200">
        <v>698</v>
      </c>
      <c r="E95" s="570">
        <v>12773</v>
      </c>
      <c r="F95" s="117">
        <f t="shared" si="10"/>
        <v>18.299426934097422</v>
      </c>
      <c r="G95" s="570">
        <v>129</v>
      </c>
      <c r="H95" s="570">
        <v>0</v>
      </c>
      <c r="I95" s="562">
        <v>2006</v>
      </c>
      <c r="J95" s="605">
        <f>2022-I95</f>
        <v>16</v>
      </c>
    </row>
    <row r="96" spans="1:14" x14ac:dyDescent="0.25">
      <c r="A96" s="113" t="s">
        <v>174</v>
      </c>
      <c r="B96" s="113" t="s">
        <v>177</v>
      </c>
      <c r="C96" s="206" t="s">
        <v>213</v>
      </c>
      <c r="D96" s="200">
        <v>245</v>
      </c>
      <c r="E96" s="570">
        <v>7541</v>
      </c>
      <c r="F96" s="117">
        <f>E96/D96</f>
        <v>30.779591836734692</v>
      </c>
      <c r="G96" s="570">
        <v>80</v>
      </c>
      <c r="H96" s="570">
        <v>2</v>
      </c>
      <c r="I96" s="562">
        <v>2008</v>
      </c>
      <c r="J96" s="605">
        <f>2022-I96</f>
        <v>14</v>
      </c>
    </row>
    <row r="97" spans="1:13" s="136" customFormat="1" x14ac:dyDescent="0.25">
      <c r="A97" s="128"/>
      <c r="B97" s="129"/>
      <c r="C97" s="90" t="s">
        <v>7</v>
      </c>
      <c r="D97" s="130">
        <f>SUM(D83:D96)</f>
        <v>8157</v>
      </c>
      <c r="E97" s="606">
        <f>SUM(E83:E96)</f>
        <v>145214</v>
      </c>
      <c r="F97" s="606"/>
      <c r="G97" s="606">
        <f>SUM(G83:G96)</f>
        <v>7168</v>
      </c>
      <c r="H97" s="606">
        <f>SUM(H83:H96)</f>
        <v>112</v>
      </c>
      <c r="I97" s="607"/>
      <c r="J97" s="608" t="s">
        <v>227</v>
      </c>
      <c r="L97" s="4"/>
      <c r="M97" s="4"/>
    </row>
    <row r="98" spans="1:13" s="142" customFormat="1" x14ac:dyDescent="0.25">
      <c r="A98" s="137"/>
      <c r="B98" s="138"/>
      <c r="C98" s="139" t="s">
        <v>8</v>
      </c>
      <c r="D98" s="130">
        <f t="shared" ref="D98:J98" si="11">AVERAGE(D83:D96)</f>
        <v>582.64285714285711</v>
      </c>
      <c r="E98" s="609">
        <f t="shared" si="11"/>
        <v>11170.307692307691</v>
      </c>
      <c r="F98" s="610">
        <f t="shared" si="11"/>
        <v>24.29588618874882</v>
      </c>
      <c r="G98" s="610">
        <f t="shared" si="11"/>
        <v>551.38461538461536</v>
      </c>
      <c r="H98" s="610">
        <f t="shared" si="11"/>
        <v>8.615384615384615</v>
      </c>
      <c r="I98" s="611">
        <f t="shared" si="11"/>
        <v>2004.5833333333333</v>
      </c>
      <c r="J98" s="612">
        <f t="shared" si="11"/>
        <v>17.416666666666668</v>
      </c>
      <c r="L98" s="4"/>
      <c r="M98" s="4"/>
    </row>
    <row r="99" spans="1:13" s="142" customFormat="1" x14ac:dyDescent="0.25">
      <c r="A99" s="144"/>
      <c r="B99" s="145"/>
      <c r="C99" s="139" t="s">
        <v>9</v>
      </c>
      <c r="D99" s="130">
        <v>399</v>
      </c>
      <c r="E99" s="609">
        <f t="shared" ref="E99:J99" si="12">MEDIAN(E83:E96)</f>
        <v>11095</v>
      </c>
      <c r="F99" s="613">
        <f t="shared" si="12"/>
        <v>18.299426934097422</v>
      </c>
      <c r="G99" s="613">
        <f t="shared" si="12"/>
        <v>369</v>
      </c>
      <c r="H99" s="614">
        <f t="shared" si="12"/>
        <v>5</v>
      </c>
      <c r="I99" s="612">
        <f t="shared" si="12"/>
        <v>2006</v>
      </c>
      <c r="J99" s="612">
        <f t="shared" si="12"/>
        <v>16</v>
      </c>
      <c r="L99" s="4"/>
      <c r="M99" s="4"/>
    </row>
    <row r="100" spans="1:13" x14ac:dyDescent="0.25">
      <c r="A100" s="1"/>
      <c r="B100" s="593"/>
      <c r="C100" s="594"/>
      <c r="D100" s="13"/>
      <c r="E100" s="13"/>
      <c r="F100" s="286"/>
      <c r="G100" s="13"/>
      <c r="H100" s="1"/>
      <c r="I100" s="1"/>
      <c r="J100" s="1"/>
    </row>
    <row r="101" spans="1:13" x14ac:dyDescent="0.25">
      <c r="A101" s="1"/>
      <c r="B101" s="593"/>
      <c r="C101" s="594"/>
      <c r="D101" s="13"/>
      <c r="E101" s="13"/>
      <c r="F101" s="286"/>
      <c r="G101" s="13"/>
      <c r="H101" s="1"/>
      <c r="I101" s="1"/>
      <c r="J101" s="1"/>
    </row>
    <row r="102" spans="1:13" s="161" customFormat="1" ht="15" customHeight="1" x14ac:dyDescent="0.25">
      <c r="A102" s="538" t="s">
        <v>671</v>
      </c>
      <c r="B102" s="539"/>
      <c r="C102" s="539"/>
      <c r="D102" s="540"/>
      <c r="E102" s="541"/>
      <c r="F102" s="542"/>
      <c r="G102" s="543"/>
      <c r="H102" s="543"/>
      <c r="I102" s="544"/>
      <c r="J102" s="545"/>
    </row>
    <row r="103" spans="1:13" s="74" customFormat="1" ht="12.75" customHeight="1" x14ac:dyDescent="0.25">
      <c r="A103" s="602"/>
      <c r="B103" s="603"/>
      <c r="C103" s="603"/>
      <c r="D103" s="604"/>
      <c r="E103" s="504" t="s">
        <v>66</v>
      </c>
      <c r="F103" s="96"/>
      <c r="G103" s="96"/>
      <c r="H103" s="97"/>
      <c r="I103" s="549" t="s">
        <v>67</v>
      </c>
      <c r="J103" s="99"/>
    </row>
    <row r="104" spans="1:13" s="74" customFormat="1" ht="45" x14ac:dyDescent="0.25">
      <c r="A104" s="100" t="s">
        <v>11</v>
      </c>
      <c r="B104" s="100" t="s">
        <v>12</v>
      </c>
      <c r="C104" s="100" t="s">
        <v>2</v>
      </c>
      <c r="D104" s="102" t="s">
        <v>5</v>
      </c>
      <c r="E104" s="552" t="s">
        <v>54</v>
      </c>
      <c r="F104" s="553" t="s">
        <v>68</v>
      </c>
      <c r="G104" s="552" t="s">
        <v>69</v>
      </c>
      <c r="H104" s="552" t="s">
        <v>70</v>
      </c>
      <c r="I104" s="554" t="s">
        <v>288</v>
      </c>
      <c r="J104" s="511" t="s">
        <v>352</v>
      </c>
    </row>
    <row r="105" spans="1:13" s="74" customFormat="1" x14ac:dyDescent="0.25">
      <c r="A105" s="109" t="s">
        <v>41</v>
      </c>
      <c r="B105" s="110"/>
      <c r="C105" s="111"/>
      <c r="D105" s="112">
        <v>7</v>
      </c>
      <c r="E105" s="112">
        <v>5</v>
      </c>
      <c r="F105" s="112">
        <v>5</v>
      </c>
      <c r="G105" s="112">
        <v>5</v>
      </c>
      <c r="H105" s="112">
        <v>5</v>
      </c>
      <c r="I105" s="112">
        <v>5</v>
      </c>
      <c r="J105" s="112">
        <v>5</v>
      </c>
    </row>
    <row r="106" spans="1:13" x14ac:dyDescent="0.25">
      <c r="A106" s="113" t="s">
        <v>361</v>
      </c>
      <c r="B106" s="113" t="s">
        <v>510</v>
      </c>
      <c r="C106" s="597" t="s">
        <v>215</v>
      </c>
      <c r="D106" s="209">
        <v>239</v>
      </c>
      <c r="E106" s="570">
        <v>12660</v>
      </c>
      <c r="F106" s="560">
        <f>+E106/D106</f>
        <v>52.970711297071126</v>
      </c>
      <c r="G106" s="570">
        <v>238</v>
      </c>
      <c r="H106" s="570">
        <v>0</v>
      </c>
      <c r="I106" s="562">
        <v>2005</v>
      </c>
      <c r="J106" s="615">
        <f>2022-I106</f>
        <v>17</v>
      </c>
    </row>
    <row r="107" spans="1:13" x14ac:dyDescent="0.25">
      <c r="A107" s="113" t="s">
        <v>417</v>
      </c>
      <c r="B107" s="113" t="s">
        <v>245</v>
      </c>
      <c r="C107" s="597" t="s">
        <v>215</v>
      </c>
      <c r="D107" s="209">
        <v>469</v>
      </c>
      <c r="E107" s="570">
        <v>13778</v>
      </c>
      <c r="F107" s="569">
        <f>+E107/D107</f>
        <v>29.377398720682304</v>
      </c>
      <c r="G107" s="570">
        <v>189</v>
      </c>
      <c r="H107" s="570">
        <v>15</v>
      </c>
      <c r="I107" s="562">
        <v>2014</v>
      </c>
      <c r="J107" s="570">
        <f>2022-I107</f>
        <v>8</v>
      </c>
    </row>
    <row r="108" spans="1:13" x14ac:dyDescent="0.25">
      <c r="A108" s="616" t="s">
        <v>364</v>
      </c>
      <c r="B108" s="616" t="s">
        <v>529</v>
      </c>
      <c r="C108" s="568" t="s">
        <v>215</v>
      </c>
      <c r="D108" s="212">
        <v>178</v>
      </c>
      <c r="E108" s="126" t="s">
        <v>233</v>
      </c>
      <c r="F108" s="571" t="s">
        <v>233</v>
      </c>
      <c r="G108" s="126" t="s">
        <v>233</v>
      </c>
      <c r="H108" s="126" t="s">
        <v>233</v>
      </c>
      <c r="I108" s="122" t="s">
        <v>233</v>
      </c>
      <c r="J108" s="617" t="s">
        <v>233</v>
      </c>
    </row>
    <row r="109" spans="1:13" x14ac:dyDescent="0.25">
      <c r="A109" s="113" t="s">
        <v>364</v>
      </c>
      <c r="B109" s="113" t="s">
        <v>511</v>
      </c>
      <c r="C109" s="597" t="s">
        <v>215</v>
      </c>
      <c r="D109" s="209">
        <v>176</v>
      </c>
      <c r="E109" s="570">
        <v>9708</v>
      </c>
      <c r="F109" s="569">
        <f>+E109/D109</f>
        <v>55.159090909090907</v>
      </c>
      <c r="G109" s="570">
        <v>1</v>
      </c>
      <c r="H109" s="570">
        <v>0</v>
      </c>
      <c r="I109" s="562">
        <v>2012</v>
      </c>
      <c r="J109" s="597">
        <f>2022-I109</f>
        <v>10</v>
      </c>
    </row>
    <row r="110" spans="1:13" x14ac:dyDescent="0.25">
      <c r="A110" s="113" t="s">
        <v>485</v>
      </c>
      <c r="B110" s="113" t="s">
        <v>481</v>
      </c>
      <c r="C110" s="597" t="s">
        <v>215</v>
      </c>
      <c r="D110" s="209">
        <v>619</v>
      </c>
      <c r="E110" s="570">
        <v>10890</v>
      </c>
      <c r="F110" s="569">
        <f>+E110/D110</f>
        <v>17.592891760904685</v>
      </c>
      <c r="G110" s="570">
        <v>219</v>
      </c>
      <c r="H110" s="570">
        <v>17</v>
      </c>
      <c r="I110" s="598" t="s">
        <v>233</v>
      </c>
      <c r="J110" s="597" t="s">
        <v>233</v>
      </c>
    </row>
    <row r="111" spans="1:13" x14ac:dyDescent="0.25">
      <c r="A111" s="113" t="s">
        <v>257</v>
      </c>
      <c r="B111" s="113" t="s">
        <v>482</v>
      </c>
      <c r="C111" s="597" t="s">
        <v>215</v>
      </c>
      <c r="D111" s="209">
        <v>26</v>
      </c>
      <c r="E111" s="570">
        <v>10121</v>
      </c>
      <c r="F111" s="569">
        <f>+E111/D111</f>
        <v>389.26923076923077</v>
      </c>
      <c r="G111" s="570">
        <v>0</v>
      </c>
      <c r="H111" s="570">
        <v>0</v>
      </c>
      <c r="I111" s="562">
        <v>1988</v>
      </c>
      <c r="J111" s="597">
        <f>2022-I111</f>
        <v>34</v>
      </c>
    </row>
    <row r="112" spans="1:13" x14ac:dyDescent="0.25">
      <c r="A112" s="113" t="s">
        <v>166</v>
      </c>
      <c r="B112" s="113" t="s">
        <v>246</v>
      </c>
      <c r="C112" s="597" t="s">
        <v>215</v>
      </c>
      <c r="D112" s="209">
        <v>519</v>
      </c>
      <c r="E112" s="126" t="s">
        <v>233</v>
      </c>
      <c r="F112" s="571" t="s">
        <v>233</v>
      </c>
      <c r="G112" s="126" t="s">
        <v>233</v>
      </c>
      <c r="H112" s="126" t="s">
        <v>233</v>
      </c>
      <c r="I112" s="122" t="s">
        <v>233</v>
      </c>
      <c r="J112" s="617" t="s">
        <v>233</v>
      </c>
    </row>
    <row r="113" spans="1:14" s="136" customFormat="1" x14ac:dyDescent="0.25">
      <c r="A113" s="128"/>
      <c r="B113" s="129"/>
      <c r="C113" s="90" t="s">
        <v>7</v>
      </c>
      <c r="D113" s="130">
        <f>SUM(D106:D108)</f>
        <v>886</v>
      </c>
      <c r="E113" s="606">
        <f>SUM(E106:E112)</f>
        <v>57157</v>
      </c>
      <c r="F113" s="618"/>
      <c r="G113" s="618">
        <f>SUM(G106:G112)</f>
        <v>647</v>
      </c>
      <c r="H113" s="618">
        <f>SUM(H106:H112)</f>
        <v>32</v>
      </c>
      <c r="I113" s="619"/>
      <c r="J113" s="620"/>
      <c r="L113" s="4"/>
      <c r="M113" s="4"/>
      <c r="N113" s="4"/>
    </row>
    <row r="114" spans="1:14" s="142" customFormat="1" x14ac:dyDescent="0.25">
      <c r="A114" s="137"/>
      <c r="B114" s="138"/>
      <c r="C114" s="139" t="s">
        <v>8</v>
      </c>
      <c r="D114" s="130">
        <f>AVERAGE(D106:D108)</f>
        <v>295.33333333333331</v>
      </c>
      <c r="E114" s="609">
        <f t="shared" ref="E114:J114" si="13">AVERAGE(E106:E112)</f>
        <v>11431.4</v>
      </c>
      <c r="F114" s="621">
        <f t="shared" si="13"/>
        <v>108.87386469139597</v>
      </c>
      <c r="G114" s="621">
        <f t="shared" si="13"/>
        <v>129.4</v>
      </c>
      <c r="H114" s="621">
        <f t="shared" si="13"/>
        <v>6.4</v>
      </c>
      <c r="I114" s="622">
        <f t="shared" si="13"/>
        <v>2004.75</v>
      </c>
      <c r="J114" s="146">
        <f t="shared" si="13"/>
        <v>17.25</v>
      </c>
      <c r="L114" s="4"/>
      <c r="M114" s="4"/>
      <c r="N114" s="4"/>
    </row>
    <row r="115" spans="1:14" s="142" customFormat="1" x14ac:dyDescent="0.25">
      <c r="A115" s="144"/>
      <c r="B115" s="145"/>
      <c r="C115" s="139" t="s">
        <v>9</v>
      </c>
      <c r="D115" s="130">
        <f t="shared" ref="D115" si="14">MEDIAN(D106:D108)</f>
        <v>239</v>
      </c>
      <c r="E115" s="609">
        <f t="shared" ref="E115:J115" si="15">MEDIAN(E106:E112)</f>
        <v>10890</v>
      </c>
      <c r="F115" s="133">
        <f t="shared" si="15"/>
        <v>52.970711297071126</v>
      </c>
      <c r="G115" s="140">
        <f t="shared" si="15"/>
        <v>189</v>
      </c>
      <c r="H115" s="140">
        <f t="shared" si="15"/>
        <v>0</v>
      </c>
      <c r="I115" s="146">
        <f t="shared" si="15"/>
        <v>2008.5</v>
      </c>
      <c r="J115" s="146">
        <f t="shared" si="15"/>
        <v>13.5</v>
      </c>
      <c r="L115" s="4"/>
      <c r="M115" s="4"/>
      <c r="N115" s="4"/>
    </row>
    <row r="116" spans="1:14" x14ac:dyDescent="0.25">
      <c r="A116" s="1"/>
      <c r="B116" s="593"/>
      <c r="C116" s="594"/>
      <c r="D116" s="13"/>
      <c r="E116" s="13"/>
      <c r="F116" s="286"/>
      <c r="G116" s="13"/>
      <c r="H116" s="1"/>
      <c r="I116" s="1"/>
      <c r="J116" s="1"/>
    </row>
    <row r="117" spans="1:14" x14ac:dyDescent="0.25">
      <c r="A117" s="1"/>
      <c r="B117" s="593"/>
      <c r="C117" s="594"/>
      <c r="D117" s="13"/>
      <c r="E117" s="13"/>
      <c r="F117" s="286"/>
      <c r="G117" s="13"/>
      <c r="H117" s="1"/>
      <c r="I117" s="1"/>
      <c r="J117" s="1"/>
    </row>
    <row r="118" spans="1:14" s="161" customFormat="1" ht="15" customHeight="1" x14ac:dyDescent="0.25">
      <c r="A118" s="538" t="s">
        <v>672</v>
      </c>
      <c r="B118" s="539"/>
      <c r="C118" s="539"/>
      <c r="D118" s="540"/>
      <c r="E118" s="541"/>
      <c r="F118" s="542"/>
      <c r="G118" s="543"/>
      <c r="H118" s="543"/>
      <c r="I118" s="544"/>
      <c r="J118" s="545"/>
      <c r="M118" s="4"/>
      <c r="N118" s="4"/>
    </row>
    <row r="119" spans="1:14" s="74" customFormat="1" ht="12.75" customHeight="1" x14ac:dyDescent="0.25">
      <c r="A119" s="602"/>
      <c r="B119" s="603"/>
      <c r="C119" s="603"/>
      <c r="D119" s="604"/>
      <c r="E119" s="504" t="s">
        <v>66</v>
      </c>
      <c r="F119" s="96"/>
      <c r="G119" s="96"/>
      <c r="H119" s="97"/>
      <c r="I119" s="549" t="s">
        <v>67</v>
      </c>
      <c r="J119" s="99"/>
      <c r="M119" s="4"/>
      <c r="N119" s="4"/>
    </row>
    <row r="120" spans="1:14" s="74" customFormat="1" ht="45" x14ac:dyDescent="0.25">
      <c r="A120" s="100" t="s">
        <v>11</v>
      </c>
      <c r="B120" s="100" t="s">
        <v>12</v>
      </c>
      <c r="C120" s="100" t="s">
        <v>2</v>
      </c>
      <c r="D120" s="102" t="s">
        <v>5</v>
      </c>
      <c r="E120" s="552" t="s">
        <v>54</v>
      </c>
      <c r="F120" s="553" t="s">
        <v>68</v>
      </c>
      <c r="G120" s="552" t="s">
        <v>69</v>
      </c>
      <c r="H120" s="552" t="s">
        <v>70</v>
      </c>
      <c r="I120" s="554" t="s">
        <v>288</v>
      </c>
      <c r="J120" s="511" t="s">
        <v>352</v>
      </c>
      <c r="M120" s="4"/>
      <c r="N120" s="4"/>
    </row>
    <row r="121" spans="1:14" s="74" customFormat="1" x14ac:dyDescent="0.25">
      <c r="A121" s="109" t="s">
        <v>41</v>
      </c>
      <c r="B121" s="110"/>
      <c r="C121" s="111"/>
      <c r="D121" s="112">
        <v>62</v>
      </c>
      <c r="E121" s="112">
        <v>54</v>
      </c>
      <c r="F121" s="112">
        <v>54</v>
      </c>
      <c r="G121" s="112">
        <v>54</v>
      </c>
      <c r="H121" s="112">
        <v>54</v>
      </c>
      <c r="I121" s="112">
        <v>48</v>
      </c>
      <c r="J121" s="112">
        <v>48</v>
      </c>
      <c r="M121" s="4"/>
      <c r="N121" s="4"/>
    </row>
    <row r="122" spans="1:14" x14ac:dyDescent="0.25">
      <c r="A122" s="113" t="s">
        <v>361</v>
      </c>
      <c r="B122" s="113" t="s">
        <v>321</v>
      </c>
      <c r="C122" s="597" t="s">
        <v>216</v>
      </c>
      <c r="D122" s="200">
        <v>14</v>
      </c>
      <c r="E122" s="570">
        <v>3199</v>
      </c>
      <c r="F122" s="117">
        <f t="shared" ref="F122:F129" si="16">+E122/D122</f>
        <v>228.5</v>
      </c>
      <c r="G122" s="570">
        <v>0</v>
      </c>
      <c r="H122" s="570">
        <v>1</v>
      </c>
      <c r="I122" s="562">
        <v>1997</v>
      </c>
      <c r="J122" s="605">
        <f t="shared" ref="J122:J129" si="17">2022-I122</f>
        <v>25</v>
      </c>
    </row>
    <row r="123" spans="1:14" x14ac:dyDescent="0.25">
      <c r="A123" s="113" t="s">
        <v>361</v>
      </c>
      <c r="B123" s="113" t="s">
        <v>512</v>
      </c>
      <c r="C123" s="597" t="s">
        <v>216</v>
      </c>
      <c r="D123" s="200">
        <v>257</v>
      </c>
      <c r="E123" s="570">
        <v>10585</v>
      </c>
      <c r="F123" s="117">
        <f t="shared" si="16"/>
        <v>41.186770428015564</v>
      </c>
      <c r="G123" s="570">
        <v>0</v>
      </c>
      <c r="H123" s="570">
        <v>0</v>
      </c>
      <c r="I123" s="562">
        <v>1997</v>
      </c>
      <c r="J123" s="605">
        <f t="shared" si="17"/>
        <v>25</v>
      </c>
    </row>
    <row r="124" spans="1:14" x14ac:dyDescent="0.25">
      <c r="A124" s="113" t="s">
        <v>361</v>
      </c>
      <c r="B124" s="113" t="s">
        <v>262</v>
      </c>
      <c r="C124" s="597" t="s">
        <v>216</v>
      </c>
      <c r="D124" s="200">
        <v>249</v>
      </c>
      <c r="E124" s="570">
        <v>14086</v>
      </c>
      <c r="F124" s="117">
        <f t="shared" si="16"/>
        <v>56.570281124497996</v>
      </c>
      <c r="G124" s="570">
        <v>0</v>
      </c>
      <c r="H124" s="570">
        <v>2</v>
      </c>
      <c r="I124" s="562">
        <v>1997</v>
      </c>
      <c r="J124" s="605">
        <f t="shared" si="17"/>
        <v>25</v>
      </c>
    </row>
    <row r="125" spans="1:14" x14ac:dyDescent="0.25">
      <c r="A125" s="113" t="s">
        <v>180</v>
      </c>
      <c r="B125" s="113" t="s">
        <v>263</v>
      </c>
      <c r="C125" s="597" t="s">
        <v>216</v>
      </c>
      <c r="D125" s="200">
        <v>389</v>
      </c>
      <c r="E125" s="570">
        <v>7956</v>
      </c>
      <c r="F125" s="121">
        <f t="shared" si="16"/>
        <v>20.452442159383033</v>
      </c>
      <c r="G125" s="570">
        <v>0</v>
      </c>
      <c r="H125" s="570">
        <v>4</v>
      </c>
      <c r="I125" s="562">
        <v>1998</v>
      </c>
      <c r="J125" s="623">
        <f t="shared" si="17"/>
        <v>24</v>
      </c>
    </row>
    <row r="126" spans="1:14" x14ac:dyDescent="0.25">
      <c r="A126" s="113" t="s">
        <v>163</v>
      </c>
      <c r="B126" s="113" t="s">
        <v>513</v>
      </c>
      <c r="C126" s="597" t="s">
        <v>216</v>
      </c>
      <c r="D126" s="200">
        <v>345</v>
      </c>
      <c r="E126" s="570">
        <v>10130</v>
      </c>
      <c r="F126" s="121">
        <f t="shared" si="16"/>
        <v>29.362318840579711</v>
      </c>
      <c r="G126" s="570">
        <v>689</v>
      </c>
      <c r="H126" s="570">
        <v>16</v>
      </c>
      <c r="I126" s="562">
        <v>2006</v>
      </c>
      <c r="J126" s="623">
        <f t="shared" si="17"/>
        <v>16</v>
      </c>
    </row>
    <row r="127" spans="1:14" x14ac:dyDescent="0.25">
      <c r="A127" s="113" t="s">
        <v>362</v>
      </c>
      <c r="B127" s="113" t="s">
        <v>322</v>
      </c>
      <c r="C127" s="597" t="s">
        <v>217</v>
      </c>
      <c r="D127" s="200">
        <v>424</v>
      </c>
      <c r="E127" s="570">
        <v>13379</v>
      </c>
      <c r="F127" s="121">
        <f t="shared" si="16"/>
        <v>31.554245283018869</v>
      </c>
      <c r="G127" s="570">
        <v>1</v>
      </c>
      <c r="H127" s="570">
        <v>0</v>
      </c>
      <c r="I127" s="562">
        <v>2011</v>
      </c>
      <c r="J127" s="623">
        <f t="shared" si="17"/>
        <v>11</v>
      </c>
    </row>
    <row r="128" spans="1:14" x14ac:dyDescent="0.25">
      <c r="A128" s="113" t="s">
        <v>362</v>
      </c>
      <c r="B128" s="113" t="s">
        <v>264</v>
      </c>
      <c r="C128" s="597" t="s">
        <v>217</v>
      </c>
      <c r="D128" s="200">
        <v>381</v>
      </c>
      <c r="E128" s="570">
        <v>12095</v>
      </c>
      <c r="F128" s="121">
        <f t="shared" si="16"/>
        <v>31.745406824146983</v>
      </c>
      <c r="G128" s="570">
        <v>21</v>
      </c>
      <c r="H128" s="570">
        <v>0</v>
      </c>
      <c r="I128" s="562">
        <v>2006</v>
      </c>
      <c r="J128" s="623">
        <f t="shared" si="17"/>
        <v>16</v>
      </c>
    </row>
    <row r="129" spans="1:10" x14ac:dyDescent="0.25">
      <c r="A129" s="113" t="s">
        <v>362</v>
      </c>
      <c r="B129" s="113" t="s">
        <v>514</v>
      </c>
      <c r="C129" s="597" t="s">
        <v>217</v>
      </c>
      <c r="D129" s="200">
        <v>199</v>
      </c>
      <c r="E129" s="570">
        <v>14125</v>
      </c>
      <c r="F129" s="121">
        <f t="shared" si="16"/>
        <v>70.979899497487438</v>
      </c>
      <c r="G129" s="570">
        <v>0</v>
      </c>
      <c r="H129" s="570">
        <v>0</v>
      </c>
      <c r="I129" s="562">
        <v>1998</v>
      </c>
      <c r="J129" s="623">
        <f t="shared" si="17"/>
        <v>24</v>
      </c>
    </row>
    <row r="130" spans="1:10" x14ac:dyDescent="0.25">
      <c r="A130" s="113" t="s">
        <v>362</v>
      </c>
      <c r="B130" s="113" t="s">
        <v>323</v>
      </c>
      <c r="C130" s="597" t="s">
        <v>217</v>
      </c>
      <c r="D130" s="200">
        <v>210</v>
      </c>
      <c r="E130" s="126" t="s">
        <v>233</v>
      </c>
      <c r="F130" s="571" t="s">
        <v>233</v>
      </c>
      <c r="G130" s="126" t="s">
        <v>233</v>
      </c>
      <c r="H130" s="624" t="s">
        <v>233</v>
      </c>
      <c r="I130" s="625" t="s">
        <v>233</v>
      </c>
      <c r="J130" s="126" t="s">
        <v>233</v>
      </c>
    </row>
    <row r="131" spans="1:10" x14ac:dyDescent="0.25">
      <c r="A131" s="113" t="s">
        <v>362</v>
      </c>
      <c r="B131" s="113" t="s">
        <v>265</v>
      </c>
      <c r="C131" s="597" t="s">
        <v>217</v>
      </c>
      <c r="D131" s="200">
        <v>323</v>
      </c>
      <c r="E131" s="570">
        <v>13477</v>
      </c>
      <c r="F131" s="121">
        <f t="shared" ref="F131:F137" si="18">+E131/D131</f>
        <v>41.724458204334368</v>
      </c>
      <c r="G131" s="570">
        <v>30</v>
      </c>
      <c r="H131" s="570">
        <v>1</v>
      </c>
      <c r="I131" s="625" t="s">
        <v>233</v>
      </c>
      <c r="J131" s="126" t="s">
        <v>233</v>
      </c>
    </row>
    <row r="132" spans="1:10" x14ac:dyDescent="0.25">
      <c r="A132" s="113" t="s">
        <v>362</v>
      </c>
      <c r="B132" s="113" t="s">
        <v>324</v>
      </c>
      <c r="C132" s="597" t="s">
        <v>217</v>
      </c>
      <c r="D132" s="200">
        <v>302</v>
      </c>
      <c r="E132" s="570">
        <v>19521</v>
      </c>
      <c r="F132" s="121">
        <f t="shared" si="18"/>
        <v>64.639072847682115</v>
      </c>
      <c r="G132" s="570">
        <v>278</v>
      </c>
      <c r="H132" s="570">
        <v>0</v>
      </c>
      <c r="I132" s="562">
        <v>2006</v>
      </c>
      <c r="J132" s="623">
        <f t="shared" ref="J132:J137" si="19">2022-I132</f>
        <v>16</v>
      </c>
    </row>
    <row r="133" spans="1:10" x14ac:dyDescent="0.25">
      <c r="A133" s="113" t="s">
        <v>362</v>
      </c>
      <c r="B133" s="113" t="s">
        <v>515</v>
      </c>
      <c r="C133" s="597" t="s">
        <v>272</v>
      </c>
      <c r="D133" s="200">
        <v>260</v>
      </c>
      <c r="E133" s="570">
        <v>16388</v>
      </c>
      <c r="F133" s="121">
        <f t="shared" si="18"/>
        <v>63.030769230769231</v>
      </c>
      <c r="G133" s="570">
        <v>180</v>
      </c>
      <c r="H133" s="570">
        <v>3</v>
      </c>
      <c r="I133" s="562">
        <v>2003</v>
      </c>
      <c r="J133" s="623">
        <f t="shared" si="19"/>
        <v>19</v>
      </c>
    </row>
    <row r="134" spans="1:10" x14ac:dyDescent="0.25">
      <c r="A134" s="113" t="s">
        <v>362</v>
      </c>
      <c r="B134" s="113" t="s">
        <v>266</v>
      </c>
      <c r="C134" s="597" t="s">
        <v>217</v>
      </c>
      <c r="D134" s="200">
        <v>389</v>
      </c>
      <c r="E134" s="570">
        <v>10980</v>
      </c>
      <c r="F134" s="121">
        <f t="shared" si="18"/>
        <v>28.226221079691516</v>
      </c>
      <c r="G134" s="570">
        <v>7</v>
      </c>
      <c r="H134" s="570">
        <v>53</v>
      </c>
      <c r="I134" s="562">
        <v>2015</v>
      </c>
      <c r="J134" s="623">
        <f t="shared" si="19"/>
        <v>7</v>
      </c>
    </row>
    <row r="135" spans="1:10" x14ac:dyDescent="0.25">
      <c r="A135" s="113" t="s">
        <v>157</v>
      </c>
      <c r="B135" s="113" t="s">
        <v>516</v>
      </c>
      <c r="C135" s="597" t="s">
        <v>217</v>
      </c>
      <c r="D135" s="200">
        <v>4</v>
      </c>
      <c r="E135" s="570">
        <v>3815</v>
      </c>
      <c r="F135" s="121">
        <f t="shared" si="18"/>
        <v>953.75</v>
      </c>
      <c r="G135" s="570">
        <v>5</v>
      </c>
      <c r="H135" s="570">
        <v>0</v>
      </c>
      <c r="I135" s="562">
        <v>1998</v>
      </c>
      <c r="J135" s="623">
        <f t="shared" si="19"/>
        <v>24</v>
      </c>
    </row>
    <row r="136" spans="1:10" x14ac:dyDescent="0.25">
      <c r="A136" s="113" t="s">
        <v>157</v>
      </c>
      <c r="B136" s="113" t="s">
        <v>517</v>
      </c>
      <c r="C136" s="597" t="s">
        <v>217</v>
      </c>
      <c r="D136" s="200">
        <v>61</v>
      </c>
      <c r="E136" s="570">
        <v>7308</v>
      </c>
      <c r="F136" s="121">
        <f t="shared" si="18"/>
        <v>119.80327868852459</v>
      </c>
      <c r="G136" s="570">
        <v>4</v>
      </c>
      <c r="H136" s="570">
        <v>0</v>
      </c>
      <c r="I136" s="562">
        <v>1997</v>
      </c>
      <c r="J136" s="623">
        <f t="shared" si="19"/>
        <v>25</v>
      </c>
    </row>
    <row r="137" spans="1:10" x14ac:dyDescent="0.25">
      <c r="A137" s="113" t="s">
        <v>157</v>
      </c>
      <c r="B137" s="113" t="s">
        <v>518</v>
      </c>
      <c r="C137" s="568" t="s">
        <v>217</v>
      </c>
      <c r="D137" s="200">
        <v>12</v>
      </c>
      <c r="E137" s="570">
        <v>3973</v>
      </c>
      <c r="F137" s="121">
        <f t="shared" si="18"/>
        <v>331.08333333333331</v>
      </c>
      <c r="G137" s="570">
        <v>1</v>
      </c>
      <c r="H137" s="570">
        <v>0</v>
      </c>
      <c r="I137" s="562">
        <v>1993</v>
      </c>
      <c r="J137" s="623">
        <f t="shared" si="19"/>
        <v>29</v>
      </c>
    </row>
    <row r="138" spans="1:10" x14ac:dyDescent="0.25">
      <c r="A138" s="113" t="s">
        <v>182</v>
      </c>
      <c r="B138" s="113" t="s">
        <v>519</v>
      </c>
      <c r="C138" s="568" t="s">
        <v>275</v>
      </c>
      <c r="D138" s="200">
        <v>253</v>
      </c>
      <c r="E138" s="126" t="s">
        <v>233</v>
      </c>
      <c r="F138" s="571" t="s">
        <v>233</v>
      </c>
      <c r="G138" s="126" t="s">
        <v>233</v>
      </c>
      <c r="H138" s="624" t="s">
        <v>233</v>
      </c>
      <c r="I138" s="625" t="s">
        <v>233</v>
      </c>
      <c r="J138" s="126" t="s">
        <v>233</v>
      </c>
    </row>
    <row r="139" spans="1:10" x14ac:dyDescent="0.25">
      <c r="A139" s="113" t="s">
        <v>159</v>
      </c>
      <c r="B139" s="113" t="s">
        <v>267</v>
      </c>
      <c r="C139" s="568" t="s">
        <v>273</v>
      </c>
      <c r="D139" s="200">
        <v>236</v>
      </c>
      <c r="E139" s="570">
        <v>11500</v>
      </c>
      <c r="F139" s="121">
        <f>+E139/D139</f>
        <v>48.728813559322035</v>
      </c>
      <c r="G139" s="570">
        <v>500</v>
      </c>
      <c r="H139" s="570">
        <v>3</v>
      </c>
      <c r="I139" s="562">
        <v>2005</v>
      </c>
      <c r="J139" s="623">
        <f>2022-I139</f>
        <v>17</v>
      </c>
    </row>
    <row r="140" spans="1:10" x14ac:dyDescent="0.25">
      <c r="A140" s="113" t="s">
        <v>168</v>
      </c>
      <c r="B140" s="113" t="s">
        <v>520</v>
      </c>
      <c r="C140" s="568" t="s">
        <v>274</v>
      </c>
      <c r="D140" s="200">
        <v>151</v>
      </c>
      <c r="E140" s="126" t="s">
        <v>233</v>
      </c>
      <c r="F140" s="571" t="s">
        <v>233</v>
      </c>
      <c r="G140" s="126" t="s">
        <v>233</v>
      </c>
      <c r="H140" s="624" t="s">
        <v>233</v>
      </c>
      <c r="I140" s="625" t="s">
        <v>233</v>
      </c>
      <c r="J140" s="126" t="s">
        <v>233</v>
      </c>
    </row>
    <row r="141" spans="1:10" x14ac:dyDescent="0.25">
      <c r="A141" s="113" t="s">
        <v>168</v>
      </c>
      <c r="B141" s="113" t="s">
        <v>268</v>
      </c>
      <c r="C141" s="568" t="s">
        <v>274</v>
      </c>
      <c r="D141" s="200">
        <v>208</v>
      </c>
      <c r="E141" s="570">
        <v>10500</v>
      </c>
      <c r="F141" s="121">
        <f t="shared" ref="F141:F146" si="20">+E141/D141</f>
        <v>50.480769230769234</v>
      </c>
      <c r="G141" s="570">
        <v>0</v>
      </c>
      <c r="H141" s="570">
        <v>0</v>
      </c>
      <c r="I141" s="625" t="s">
        <v>233</v>
      </c>
      <c r="J141" s="126" t="s">
        <v>233</v>
      </c>
    </row>
    <row r="142" spans="1:10" x14ac:dyDescent="0.25">
      <c r="A142" s="113" t="s">
        <v>148</v>
      </c>
      <c r="B142" s="113" t="s">
        <v>249</v>
      </c>
      <c r="C142" s="568" t="s">
        <v>217</v>
      </c>
      <c r="D142" s="200">
        <v>388</v>
      </c>
      <c r="E142" s="570">
        <v>18200</v>
      </c>
      <c r="F142" s="121">
        <f t="shared" si="20"/>
        <v>46.907216494845358</v>
      </c>
      <c r="G142" s="570">
        <v>20</v>
      </c>
      <c r="H142" s="570">
        <v>0</v>
      </c>
      <c r="I142" s="562">
        <v>2005</v>
      </c>
      <c r="J142" s="623">
        <f>2022-I142</f>
        <v>17</v>
      </c>
    </row>
    <row r="143" spans="1:10" x14ac:dyDescent="0.25">
      <c r="A143" s="113" t="s">
        <v>148</v>
      </c>
      <c r="B143" s="113" t="s">
        <v>521</v>
      </c>
      <c r="C143" s="568" t="s">
        <v>217</v>
      </c>
      <c r="D143" s="200">
        <v>312</v>
      </c>
      <c r="E143" s="570">
        <v>9200</v>
      </c>
      <c r="F143" s="121">
        <f t="shared" si="20"/>
        <v>29.487179487179485</v>
      </c>
      <c r="G143" s="570">
        <v>51</v>
      </c>
      <c r="H143" s="570">
        <v>0</v>
      </c>
      <c r="I143" s="562">
        <v>2003</v>
      </c>
      <c r="J143" s="623">
        <f>2022-I143</f>
        <v>19</v>
      </c>
    </row>
    <row r="144" spans="1:10" x14ac:dyDescent="0.25">
      <c r="A144" s="113" t="s">
        <v>148</v>
      </c>
      <c r="B144" s="113" t="s">
        <v>325</v>
      </c>
      <c r="C144" s="568" t="s">
        <v>217</v>
      </c>
      <c r="D144" s="200">
        <v>164</v>
      </c>
      <c r="E144" s="570">
        <v>13394</v>
      </c>
      <c r="F144" s="121">
        <f t="shared" si="20"/>
        <v>81.670731707317074</v>
      </c>
      <c r="G144" s="570">
        <v>83</v>
      </c>
      <c r="H144" s="570">
        <v>0</v>
      </c>
      <c r="I144" s="562">
        <v>2006</v>
      </c>
      <c r="J144" s="623">
        <f>2022-I144</f>
        <v>16</v>
      </c>
    </row>
    <row r="145" spans="1:10" x14ac:dyDescent="0.25">
      <c r="A145" s="113" t="s">
        <v>148</v>
      </c>
      <c r="B145" s="113" t="s">
        <v>522</v>
      </c>
      <c r="C145" s="597" t="s">
        <v>217</v>
      </c>
      <c r="D145" s="200">
        <v>354</v>
      </c>
      <c r="E145" s="570">
        <v>9400</v>
      </c>
      <c r="F145" s="117">
        <f t="shared" si="20"/>
        <v>26.55367231638418</v>
      </c>
      <c r="G145" s="570">
        <v>41</v>
      </c>
      <c r="H145" s="570">
        <v>15</v>
      </c>
      <c r="I145" s="562">
        <v>2001</v>
      </c>
      <c r="J145" s="605">
        <f>2022-I145</f>
        <v>21</v>
      </c>
    </row>
    <row r="146" spans="1:10" x14ac:dyDescent="0.25">
      <c r="A146" s="113" t="s">
        <v>148</v>
      </c>
      <c r="B146" s="113" t="s">
        <v>269</v>
      </c>
      <c r="C146" s="568" t="s">
        <v>222</v>
      </c>
      <c r="D146" s="200">
        <v>102</v>
      </c>
      <c r="E146" s="570">
        <v>5180</v>
      </c>
      <c r="F146" s="117">
        <f t="shared" si="20"/>
        <v>50.784313725490193</v>
      </c>
      <c r="G146" s="570">
        <v>8</v>
      </c>
      <c r="H146" s="570" t="s">
        <v>287</v>
      </c>
      <c r="I146" s="562">
        <v>2004</v>
      </c>
      <c r="J146" s="605">
        <f>2022-I146</f>
        <v>18</v>
      </c>
    </row>
    <row r="147" spans="1:10" x14ac:dyDescent="0.25">
      <c r="A147" s="113" t="s">
        <v>148</v>
      </c>
      <c r="B147" s="113" t="s">
        <v>523</v>
      </c>
      <c r="C147" s="597" t="s">
        <v>217</v>
      </c>
      <c r="D147" s="200">
        <v>82</v>
      </c>
      <c r="E147" s="126" t="s">
        <v>233</v>
      </c>
      <c r="F147" s="124" t="s">
        <v>233</v>
      </c>
      <c r="G147" s="126" t="s">
        <v>233</v>
      </c>
      <c r="H147" s="624" t="s">
        <v>233</v>
      </c>
      <c r="I147" s="625" t="s">
        <v>233</v>
      </c>
      <c r="J147" s="567" t="s">
        <v>233</v>
      </c>
    </row>
    <row r="148" spans="1:10" x14ac:dyDescent="0.25">
      <c r="A148" s="113" t="s">
        <v>148</v>
      </c>
      <c r="B148" s="113" t="s">
        <v>270</v>
      </c>
      <c r="C148" s="568" t="s">
        <v>217</v>
      </c>
      <c r="D148" s="200">
        <v>258</v>
      </c>
      <c r="E148" s="570">
        <v>13</v>
      </c>
      <c r="F148" s="117">
        <f>+E148/D148</f>
        <v>5.0387596899224806E-2</v>
      </c>
      <c r="G148" s="570">
        <v>7</v>
      </c>
      <c r="H148" s="570">
        <v>0</v>
      </c>
      <c r="I148" s="562">
        <v>1997</v>
      </c>
      <c r="J148" s="605">
        <f>2022-I148</f>
        <v>25</v>
      </c>
    </row>
    <row r="149" spans="1:10" x14ac:dyDescent="0.25">
      <c r="A149" s="113" t="s">
        <v>148</v>
      </c>
      <c r="B149" s="113" t="s">
        <v>524</v>
      </c>
      <c r="C149" s="568" t="s">
        <v>217</v>
      </c>
      <c r="D149" s="200">
        <v>286</v>
      </c>
      <c r="E149" s="126" t="s">
        <v>233</v>
      </c>
      <c r="F149" s="124" t="s">
        <v>233</v>
      </c>
      <c r="G149" s="126" t="s">
        <v>233</v>
      </c>
      <c r="H149" s="624" t="s">
        <v>233</v>
      </c>
      <c r="I149" s="625" t="s">
        <v>233</v>
      </c>
      <c r="J149" s="567" t="s">
        <v>233</v>
      </c>
    </row>
    <row r="150" spans="1:10" x14ac:dyDescent="0.25">
      <c r="A150" s="113" t="s">
        <v>148</v>
      </c>
      <c r="B150" s="113" t="s">
        <v>525</v>
      </c>
      <c r="C150" s="568" t="s">
        <v>218</v>
      </c>
      <c r="D150" s="200">
        <v>368</v>
      </c>
      <c r="E150" s="126" t="s">
        <v>233</v>
      </c>
      <c r="F150" s="124" t="s">
        <v>233</v>
      </c>
      <c r="G150" s="126" t="s">
        <v>233</v>
      </c>
      <c r="H150" s="624" t="s">
        <v>233</v>
      </c>
      <c r="I150" s="625" t="s">
        <v>233</v>
      </c>
      <c r="J150" s="626" t="s">
        <v>233</v>
      </c>
    </row>
    <row r="151" spans="1:10" x14ac:dyDescent="0.25">
      <c r="A151" s="113" t="s">
        <v>148</v>
      </c>
      <c r="B151" s="113" t="s">
        <v>526</v>
      </c>
      <c r="C151" s="597" t="s">
        <v>217</v>
      </c>
      <c r="D151" s="200">
        <v>344</v>
      </c>
      <c r="E151" s="570">
        <v>11429</v>
      </c>
      <c r="F151" s="117">
        <f>+E151/D151</f>
        <v>33.223837209302324</v>
      </c>
      <c r="G151" s="570">
        <v>0</v>
      </c>
      <c r="H151" s="570">
        <v>0</v>
      </c>
      <c r="I151" s="625" t="s">
        <v>233</v>
      </c>
      <c r="J151" s="567" t="s">
        <v>233</v>
      </c>
    </row>
    <row r="152" spans="1:10" x14ac:dyDescent="0.25">
      <c r="A152" s="113" t="s">
        <v>256</v>
      </c>
      <c r="B152" s="113" t="s">
        <v>527</v>
      </c>
      <c r="C152" s="597" t="s">
        <v>217</v>
      </c>
      <c r="D152" s="200">
        <v>32</v>
      </c>
      <c r="E152" s="126" t="s">
        <v>233</v>
      </c>
      <c r="F152" s="124" t="s">
        <v>233</v>
      </c>
      <c r="G152" s="126" t="s">
        <v>233</v>
      </c>
      <c r="H152" s="624" t="s">
        <v>233</v>
      </c>
      <c r="I152" s="624" t="s">
        <v>233</v>
      </c>
      <c r="J152" s="567" t="s">
        <v>233</v>
      </c>
    </row>
    <row r="153" spans="1:10" x14ac:dyDescent="0.25">
      <c r="A153" s="113" t="s">
        <v>178</v>
      </c>
      <c r="B153" s="113" t="s">
        <v>250</v>
      </c>
      <c r="C153" s="597" t="s">
        <v>222</v>
      </c>
      <c r="D153" s="200">
        <v>435</v>
      </c>
      <c r="E153" s="570">
        <v>18266</v>
      </c>
      <c r="F153" s="117">
        <f t="shared" ref="F153:F176" si="21">+E153/D153</f>
        <v>41.99080459770115</v>
      </c>
      <c r="G153" s="570">
        <v>65</v>
      </c>
      <c r="H153" s="570">
        <v>0</v>
      </c>
      <c r="I153" s="562">
        <v>2006</v>
      </c>
      <c r="J153" s="605">
        <f>2022-I153</f>
        <v>16</v>
      </c>
    </row>
    <row r="154" spans="1:10" x14ac:dyDescent="0.25">
      <c r="A154" s="113" t="s">
        <v>178</v>
      </c>
      <c r="B154" s="113" t="s">
        <v>187</v>
      </c>
      <c r="C154" s="627" t="s">
        <v>606</v>
      </c>
      <c r="D154" s="200">
        <v>285</v>
      </c>
      <c r="E154" s="570">
        <v>13938</v>
      </c>
      <c r="F154" s="117">
        <f t="shared" si="21"/>
        <v>48.905263157894737</v>
      </c>
      <c r="G154" s="570">
        <v>80</v>
      </c>
      <c r="H154" s="570">
        <v>0</v>
      </c>
      <c r="I154" s="562">
        <v>2004</v>
      </c>
      <c r="J154" s="605">
        <f>2022-I154</f>
        <v>18</v>
      </c>
    </row>
    <row r="155" spans="1:10" x14ac:dyDescent="0.25">
      <c r="A155" s="113" t="s">
        <v>178</v>
      </c>
      <c r="B155" s="113" t="s">
        <v>191</v>
      </c>
      <c r="C155" s="627" t="s">
        <v>223</v>
      </c>
      <c r="D155" s="200">
        <v>355</v>
      </c>
      <c r="E155" s="570">
        <v>17800</v>
      </c>
      <c r="F155" s="117">
        <f t="shared" si="21"/>
        <v>50.140845070422536</v>
      </c>
      <c r="G155" s="570">
        <v>264</v>
      </c>
      <c r="H155" s="570">
        <v>4</v>
      </c>
      <c r="I155" s="628" t="s">
        <v>233</v>
      </c>
      <c r="J155" s="567" t="s">
        <v>233</v>
      </c>
    </row>
    <row r="156" spans="1:10" x14ac:dyDescent="0.25">
      <c r="A156" s="113" t="s">
        <v>178</v>
      </c>
      <c r="B156" s="113" t="s">
        <v>197</v>
      </c>
      <c r="C156" s="568" t="s">
        <v>222</v>
      </c>
      <c r="D156" s="200">
        <v>387</v>
      </c>
      <c r="E156" s="570">
        <v>18989</v>
      </c>
      <c r="F156" s="117">
        <f t="shared" si="21"/>
        <v>49.067183462532299</v>
      </c>
      <c r="G156" s="570">
        <v>26</v>
      </c>
      <c r="H156" s="570">
        <v>0</v>
      </c>
      <c r="I156" s="562">
        <v>2007</v>
      </c>
      <c r="J156" s="605">
        <f t="shared" ref="J156:J170" si="22">2022-I156</f>
        <v>15</v>
      </c>
    </row>
    <row r="157" spans="1:10" x14ac:dyDescent="0.25">
      <c r="A157" s="113" t="s">
        <v>364</v>
      </c>
      <c r="B157" s="113" t="s">
        <v>271</v>
      </c>
      <c r="C157" s="568" t="s">
        <v>216</v>
      </c>
      <c r="D157" s="200">
        <v>287</v>
      </c>
      <c r="E157" s="570">
        <v>8420</v>
      </c>
      <c r="F157" s="117">
        <f t="shared" si="21"/>
        <v>29.337979094076655</v>
      </c>
      <c r="G157" s="570">
        <v>374</v>
      </c>
      <c r="H157" s="570">
        <v>2</v>
      </c>
      <c r="I157" s="562">
        <v>2010</v>
      </c>
      <c r="J157" s="605">
        <f t="shared" si="22"/>
        <v>12</v>
      </c>
    </row>
    <row r="158" spans="1:10" x14ac:dyDescent="0.25">
      <c r="A158" s="113" t="s">
        <v>364</v>
      </c>
      <c r="B158" s="113" t="s">
        <v>326</v>
      </c>
      <c r="C158" s="568" t="s">
        <v>216</v>
      </c>
      <c r="D158" s="200">
        <v>332</v>
      </c>
      <c r="E158" s="570">
        <v>8425</v>
      </c>
      <c r="F158" s="117">
        <f t="shared" si="21"/>
        <v>25.376506024096386</v>
      </c>
      <c r="G158" s="570">
        <v>0</v>
      </c>
      <c r="H158" s="570">
        <v>0</v>
      </c>
      <c r="I158" s="562">
        <v>2011</v>
      </c>
      <c r="J158" s="605">
        <f t="shared" si="22"/>
        <v>11</v>
      </c>
    </row>
    <row r="159" spans="1:10" x14ac:dyDescent="0.25">
      <c r="A159" s="113" t="s">
        <v>364</v>
      </c>
      <c r="B159" s="113" t="s">
        <v>528</v>
      </c>
      <c r="C159" s="568" t="s">
        <v>216</v>
      </c>
      <c r="D159" s="200">
        <v>312</v>
      </c>
      <c r="E159" s="570">
        <v>12446</v>
      </c>
      <c r="F159" s="117">
        <f t="shared" si="21"/>
        <v>39.891025641025642</v>
      </c>
      <c r="G159" s="570">
        <v>0</v>
      </c>
      <c r="H159" s="570">
        <v>0</v>
      </c>
      <c r="I159" s="562">
        <v>2008</v>
      </c>
      <c r="J159" s="605">
        <f t="shared" si="22"/>
        <v>14</v>
      </c>
    </row>
    <row r="160" spans="1:10" x14ac:dyDescent="0.25">
      <c r="A160" s="113" t="s">
        <v>364</v>
      </c>
      <c r="B160" s="113" t="s">
        <v>190</v>
      </c>
      <c r="C160" s="568" t="s">
        <v>216</v>
      </c>
      <c r="D160" s="200">
        <v>293</v>
      </c>
      <c r="E160" s="570">
        <v>9104</v>
      </c>
      <c r="F160" s="117">
        <f t="shared" si="21"/>
        <v>31.071672354948806</v>
      </c>
      <c r="G160" s="570">
        <v>545</v>
      </c>
      <c r="H160" s="570">
        <v>2</v>
      </c>
      <c r="I160" s="562">
        <v>2017</v>
      </c>
      <c r="J160" s="605">
        <f t="shared" si="22"/>
        <v>5</v>
      </c>
    </row>
    <row r="161" spans="1:10" x14ac:dyDescent="0.25">
      <c r="A161" s="113" t="s">
        <v>364</v>
      </c>
      <c r="B161" s="113" t="s">
        <v>327</v>
      </c>
      <c r="C161" s="568" t="s">
        <v>216</v>
      </c>
      <c r="D161" s="200">
        <v>326</v>
      </c>
      <c r="E161" s="570">
        <v>8632</v>
      </c>
      <c r="F161" s="117">
        <f t="shared" si="21"/>
        <v>26.478527607361965</v>
      </c>
      <c r="G161" s="570">
        <v>0</v>
      </c>
      <c r="H161" s="570">
        <v>5</v>
      </c>
      <c r="I161" s="562">
        <v>2013</v>
      </c>
      <c r="J161" s="605">
        <f t="shared" si="22"/>
        <v>9</v>
      </c>
    </row>
    <row r="162" spans="1:10" x14ac:dyDescent="0.25">
      <c r="A162" s="113" t="s">
        <v>364</v>
      </c>
      <c r="B162" s="113" t="s">
        <v>530</v>
      </c>
      <c r="C162" s="568" t="s">
        <v>217</v>
      </c>
      <c r="D162" s="200">
        <v>442</v>
      </c>
      <c r="E162" s="570">
        <v>14858</v>
      </c>
      <c r="F162" s="117">
        <f t="shared" si="21"/>
        <v>33.615384615384613</v>
      </c>
      <c r="G162" s="570">
        <v>0</v>
      </c>
      <c r="H162" s="570">
        <v>2</v>
      </c>
      <c r="I162" s="562">
        <v>2009</v>
      </c>
      <c r="J162" s="599">
        <f t="shared" si="22"/>
        <v>13</v>
      </c>
    </row>
    <row r="163" spans="1:10" x14ac:dyDescent="0.25">
      <c r="A163" s="113" t="s">
        <v>184</v>
      </c>
      <c r="B163" s="113" t="s">
        <v>531</v>
      </c>
      <c r="C163" s="568" t="s">
        <v>216</v>
      </c>
      <c r="D163" s="200">
        <v>10</v>
      </c>
      <c r="E163" s="570">
        <v>3390</v>
      </c>
      <c r="F163" s="117">
        <f t="shared" si="21"/>
        <v>339</v>
      </c>
      <c r="G163" s="570">
        <v>0</v>
      </c>
      <c r="H163" s="570">
        <v>0</v>
      </c>
      <c r="I163" s="562">
        <v>1999</v>
      </c>
      <c r="J163" s="599">
        <f t="shared" si="22"/>
        <v>23</v>
      </c>
    </row>
    <row r="164" spans="1:10" x14ac:dyDescent="0.25">
      <c r="A164" s="113" t="s">
        <v>184</v>
      </c>
      <c r="B164" s="113" t="s">
        <v>199</v>
      </c>
      <c r="C164" s="568" t="s">
        <v>216</v>
      </c>
      <c r="D164" s="200">
        <v>296</v>
      </c>
      <c r="E164" s="570">
        <v>11370</v>
      </c>
      <c r="F164" s="117">
        <f t="shared" si="21"/>
        <v>38.412162162162161</v>
      </c>
      <c r="G164" s="570">
        <v>677</v>
      </c>
      <c r="H164" s="570">
        <v>0</v>
      </c>
      <c r="I164" s="562">
        <v>2002</v>
      </c>
      <c r="J164" s="605">
        <f t="shared" si="22"/>
        <v>20</v>
      </c>
    </row>
    <row r="165" spans="1:10" x14ac:dyDescent="0.25">
      <c r="A165" s="113" t="s">
        <v>149</v>
      </c>
      <c r="B165" s="113" t="s">
        <v>328</v>
      </c>
      <c r="C165" s="568" t="s">
        <v>216</v>
      </c>
      <c r="D165" s="200">
        <v>290</v>
      </c>
      <c r="E165" s="570">
        <v>10695</v>
      </c>
      <c r="F165" s="117">
        <f t="shared" si="21"/>
        <v>36.879310344827587</v>
      </c>
      <c r="G165" s="570">
        <v>0</v>
      </c>
      <c r="H165" s="570">
        <v>9</v>
      </c>
      <c r="I165" s="562">
        <v>2003</v>
      </c>
      <c r="J165" s="605">
        <f t="shared" si="22"/>
        <v>19</v>
      </c>
    </row>
    <row r="166" spans="1:10" x14ac:dyDescent="0.25">
      <c r="A166" s="113" t="s">
        <v>149</v>
      </c>
      <c r="B166" s="113" t="s">
        <v>329</v>
      </c>
      <c r="C166" s="568" t="s">
        <v>216</v>
      </c>
      <c r="D166" s="200">
        <v>301</v>
      </c>
      <c r="E166" s="570">
        <v>8242</v>
      </c>
      <c r="F166" s="117">
        <f t="shared" si="21"/>
        <v>27.38205980066445</v>
      </c>
      <c r="G166" s="570">
        <v>30</v>
      </c>
      <c r="H166" s="570">
        <v>9</v>
      </c>
      <c r="I166" s="562">
        <v>2009</v>
      </c>
      <c r="J166" s="605">
        <f t="shared" si="22"/>
        <v>13</v>
      </c>
    </row>
    <row r="167" spans="1:10" x14ac:dyDescent="0.25">
      <c r="A167" s="113" t="s">
        <v>149</v>
      </c>
      <c r="B167" s="113" t="s">
        <v>330</v>
      </c>
      <c r="C167" s="568" t="s">
        <v>216</v>
      </c>
      <c r="D167" s="200">
        <v>303</v>
      </c>
      <c r="E167" s="570">
        <v>7214</v>
      </c>
      <c r="F167" s="117">
        <f t="shared" si="21"/>
        <v>23.808580858085808</v>
      </c>
      <c r="G167" s="570">
        <v>87</v>
      </c>
      <c r="H167" s="570">
        <v>9</v>
      </c>
      <c r="I167" s="562">
        <v>2010</v>
      </c>
      <c r="J167" s="605">
        <f t="shared" si="22"/>
        <v>12</v>
      </c>
    </row>
    <row r="168" spans="1:10" x14ac:dyDescent="0.25">
      <c r="A168" s="113" t="s">
        <v>149</v>
      </c>
      <c r="B168" s="113" t="s">
        <v>331</v>
      </c>
      <c r="C168" s="568" t="s">
        <v>216</v>
      </c>
      <c r="D168" s="221">
        <v>5</v>
      </c>
      <c r="E168" s="570">
        <v>699</v>
      </c>
      <c r="F168" s="117">
        <f t="shared" si="21"/>
        <v>139.80000000000001</v>
      </c>
      <c r="G168" s="570">
        <v>0</v>
      </c>
      <c r="H168" s="570">
        <v>0</v>
      </c>
      <c r="I168" s="562">
        <v>2005</v>
      </c>
      <c r="J168" s="605">
        <f t="shared" si="22"/>
        <v>17</v>
      </c>
    </row>
    <row r="169" spans="1:10" x14ac:dyDescent="0.25">
      <c r="A169" s="113" t="s">
        <v>149</v>
      </c>
      <c r="B169" s="113" t="s">
        <v>332</v>
      </c>
      <c r="C169" s="568" t="s">
        <v>216</v>
      </c>
      <c r="D169" s="200">
        <v>16</v>
      </c>
      <c r="E169" s="570">
        <v>2982</v>
      </c>
      <c r="F169" s="117">
        <f t="shared" si="21"/>
        <v>186.375</v>
      </c>
      <c r="G169" s="570">
        <v>50</v>
      </c>
      <c r="H169" s="570">
        <v>0</v>
      </c>
      <c r="I169" s="562">
        <v>2006</v>
      </c>
      <c r="J169" s="605">
        <f t="shared" si="22"/>
        <v>16</v>
      </c>
    </row>
    <row r="170" spans="1:10" x14ac:dyDescent="0.25">
      <c r="A170" s="113" t="s">
        <v>181</v>
      </c>
      <c r="B170" s="113" t="s">
        <v>532</v>
      </c>
      <c r="C170" s="568" t="s">
        <v>220</v>
      </c>
      <c r="D170" s="200">
        <v>192</v>
      </c>
      <c r="E170" s="570">
        <v>4900</v>
      </c>
      <c r="F170" s="117">
        <f t="shared" si="21"/>
        <v>25.520833333333332</v>
      </c>
      <c r="G170" s="570">
        <v>0</v>
      </c>
      <c r="H170" s="570">
        <v>1</v>
      </c>
      <c r="I170" s="562">
        <v>2005</v>
      </c>
      <c r="J170" s="605">
        <f t="shared" si="22"/>
        <v>17</v>
      </c>
    </row>
    <row r="171" spans="1:10" x14ac:dyDescent="0.25">
      <c r="A171" s="113" t="s">
        <v>181</v>
      </c>
      <c r="B171" s="113" t="s">
        <v>533</v>
      </c>
      <c r="C171" s="568" t="s">
        <v>221</v>
      </c>
      <c r="D171" s="200">
        <v>186</v>
      </c>
      <c r="E171" s="570">
        <v>11186</v>
      </c>
      <c r="F171" s="117">
        <f t="shared" si="21"/>
        <v>60.13978494623656</v>
      </c>
      <c r="G171" s="570">
        <v>1</v>
      </c>
      <c r="H171" s="570">
        <v>2</v>
      </c>
      <c r="I171" s="625" t="s">
        <v>233</v>
      </c>
      <c r="J171" s="567" t="s">
        <v>233</v>
      </c>
    </row>
    <row r="172" spans="1:10" x14ac:dyDescent="0.25">
      <c r="A172" s="113" t="s">
        <v>179</v>
      </c>
      <c r="B172" s="113" t="s">
        <v>251</v>
      </c>
      <c r="C172" s="568" t="s">
        <v>216</v>
      </c>
      <c r="D172" s="200">
        <v>212</v>
      </c>
      <c r="E172" s="570">
        <v>7834</v>
      </c>
      <c r="F172" s="117">
        <f t="shared" si="21"/>
        <v>36.952830188679243</v>
      </c>
      <c r="G172" s="570">
        <v>0</v>
      </c>
      <c r="H172" s="570">
        <v>1</v>
      </c>
      <c r="I172" s="625" t="s">
        <v>233</v>
      </c>
      <c r="J172" s="567" t="s">
        <v>233</v>
      </c>
    </row>
    <row r="173" spans="1:10" x14ac:dyDescent="0.25">
      <c r="A173" s="113" t="s">
        <v>183</v>
      </c>
      <c r="B173" s="113" t="s">
        <v>333</v>
      </c>
      <c r="C173" s="568" t="s">
        <v>216</v>
      </c>
      <c r="D173" s="200">
        <v>311</v>
      </c>
      <c r="E173" s="570">
        <v>10890</v>
      </c>
      <c r="F173" s="117">
        <f t="shared" si="21"/>
        <v>35.016077170418008</v>
      </c>
      <c r="G173" s="570">
        <v>0</v>
      </c>
      <c r="H173" s="570">
        <v>0</v>
      </c>
      <c r="I173" s="625" t="s">
        <v>233</v>
      </c>
      <c r="J173" s="567" t="s">
        <v>233</v>
      </c>
    </row>
    <row r="174" spans="1:10" x14ac:dyDescent="0.25">
      <c r="A174" s="113" t="s">
        <v>183</v>
      </c>
      <c r="B174" s="113" t="s">
        <v>534</v>
      </c>
      <c r="C174" s="568" t="s">
        <v>216</v>
      </c>
      <c r="D174" s="200">
        <v>307</v>
      </c>
      <c r="E174" s="570">
        <v>15000</v>
      </c>
      <c r="F174" s="117">
        <f t="shared" si="21"/>
        <v>48.859934853420192</v>
      </c>
      <c r="G174" s="570">
        <v>0</v>
      </c>
      <c r="H174" s="570">
        <v>0</v>
      </c>
      <c r="I174" s="562">
        <v>1995</v>
      </c>
      <c r="J174" s="605">
        <f t="shared" ref="J174:J183" si="23">2022-I174</f>
        <v>27</v>
      </c>
    </row>
    <row r="175" spans="1:10" x14ac:dyDescent="0.25">
      <c r="A175" s="113" t="s">
        <v>183</v>
      </c>
      <c r="B175" s="113" t="s">
        <v>196</v>
      </c>
      <c r="C175" s="568" t="s">
        <v>216</v>
      </c>
      <c r="D175" s="200">
        <v>329</v>
      </c>
      <c r="E175" s="570">
        <v>12100</v>
      </c>
      <c r="F175" s="117">
        <f t="shared" si="21"/>
        <v>36.778115501519757</v>
      </c>
      <c r="G175" s="570">
        <v>0</v>
      </c>
      <c r="H175" s="570">
        <v>5</v>
      </c>
      <c r="I175" s="562">
        <v>1995</v>
      </c>
      <c r="J175" s="599">
        <f t="shared" si="23"/>
        <v>27</v>
      </c>
    </row>
    <row r="176" spans="1:10" x14ac:dyDescent="0.25">
      <c r="A176" s="113" t="s">
        <v>257</v>
      </c>
      <c r="B176" s="113" t="s">
        <v>535</v>
      </c>
      <c r="C176" s="568" t="s">
        <v>222</v>
      </c>
      <c r="D176" s="200">
        <v>434</v>
      </c>
      <c r="E176" s="570">
        <v>8403</v>
      </c>
      <c r="F176" s="117">
        <f t="shared" si="21"/>
        <v>19.361751152073733</v>
      </c>
      <c r="G176" s="570">
        <v>0</v>
      </c>
      <c r="H176" s="570">
        <v>0</v>
      </c>
      <c r="I176" s="562">
        <v>2007</v>
      </c>
      <c r="J176" s="605">
        <f t="shared" si="23"/>
        <v>15</v>
      </c>
    </row>
    <row r="177" spans="1:13" x14ac:dyDescent="0.25">
      <c r="A177" s="113" t="s">
        <v>365</v>
      </c>
      <c r="B177" s="113" t="s">
        <v>334</v>
      </c>
      <c r="C177" s="568" t="s">
        <v>216</v>
      </c>
      <c r="D177" s="200">
        <v>37</v>
      </c>
      <c r="E177" s="126" t="s">
        <v>233</v>
      </c>
      <c r="F177" s="124" t="s">
        <v>233</v>
      </c>
      <c r="G177" s="126" t="s">
        <v>233</v>
      </c>
      <c r="H177" s="624" t="s">
        <v>233</v>
      </c>
      <c r="I177" s="562">
        <v>2004</v>
      </c>
      <c r="J177" s="605">
        <f t="shared" si="23"/>
        <v>18</v>
      </c>
    </row>
    <row r="178" spans="1:13" x14ac:dyDescent="0.25">
      <c r="A178" s="113" t="s">
        <v>365</v>
      </c>
      <c r="B178" s="113" t="s">
        <v>335</v>
      </c>
      <c r="C178" s="568" t="s">
        <v>216</v>
      </c>
      <c r="D178" s="200">
        <v>304</v>
      </c>
      <c r="E178" s="570">
        <v>11836</v>
      </c>
      <c r="F178" s="117">
        <f t="shared" ref="F178:F183" si="24">+E178/D178</f>
        <v>38.934210526315788</v>
      </c>
      <c r="G178" s="570">
        <v>100</v>
      </c>
      <c r="H178" s="570">
        <v>0</v>
      </c>
      <c r="I178" s="562">
        <v>2006</v>
      </c>
      <c r="J178" s="605">
        <f t="shared" si="23"/>
        <v>16</v>
      </c>
    </row>
    <row r="179" spans="1:13" x14ac:dyDescent="0.25">
      <c r="A179" s="113" t="s">
        <v>365</v>
      </c>
      <c r="B179" s="113" t="s">
        <v>536</v>
      </c>
      <c r="C179" s="568" t="s">
        <v>216</v>
      </c>
      <c r="D179" s="200">
        <v>390</v>
      </c>
      <c r="E179" s="570">
        <v>12706</v>
      </c>
      <c r="F179" s="117">
        <f t="shared" si="24"/>
        <v>32.579487179487181</v>
      </c>
      <c r="G179" s="570">
        <v>164</v>
      </c>
      <c r="H179" s="570">
        <v>9</v>
      </c>
      <c r="I179" s="562">
        <v>2013</v>
      </c>
      <c r="J179" s="599">
        <f t="shared" si="23"/>
        <v>9</v>
      </c>
    </row>
    <row r="180" spans="1:13" x14ac:dyDescent="0.25">
      <c r="A180" s="113" t="s">
        <v>174</v>
      </c>
      <c r="B180" s="113" t="s">
        <v>202</v>
      </c>
      <c r="C180" s="568" t="s">
        <v>219</v>
      </c>
      <c r="D180" s="200">
        <v>166</v>
      </c>
      <c r="E180" s="570">
        <v>4509</v>
      </c>
      <c r="F180" s="117">
        <f t="shared" si="24"/>
        <v>27.162650602409638</v>
      </c>
      <c r="G180" s="570">
        <v>0</v>
      </c>
      <c r="H180" s="570">
        <v>0</v>
      </c>
      <c r="I180" s="562">
        <v>2009</v>
      </c>
      <c r="J180" s="599">
        <f t="shared" si="23"/>
        <v>13</v>
      </c>
    </row>
    <row r="181" spans="1:13" x14ac:dyDescent="0.25">
      <c r="A181" s="113" t="s">
        <v>174</v>
      </c>
      <c r="B181" s="113" t="s">
        <v>173</v>
      </c>
      <c r="C181" s="568" t="s">
        <v>275</v>
      </c>
      <c r="D181" s="200">
        <v>187</v>
      </c>
      <c r="E181" s="570">
        <v>6459</v>
      </c>
      <c r="F181" s="117">
        <f t="shared" si="24"/>
        <v>34.540106951871657</v>
      </c>
      <c r="G181" s="570">
        <v>0</v>
      </c>
      <c r="H181" s="570">
        <v>0</v>
      </c>
      <c r="I181" s="562">
        <v>1999</v>
      </c>
      <c r="J181" s="605">
        <f t="shared" si="23"/>
        <v>23</v>
      </c>
    </row>
    <row r="182" spans="1:13" x14ac:dyDescent="0.25">
      <c r="A182" s="113" t="s">
        <v>174</v>
      </c>
      <c r="B182" s="113" t="s">
        <v>175</v>
      </c>
      <c r="C182" s="568" t="s">
        <v>273</v>
      </c>
      <c r="D182" s="200">
        <v>164</v>
      </c>
      <c r="E182" s="570">
        <v>5598</v>
      </c>
      <c r="F182" s="117">
        <f t="shared" si="24"/>
        <v>34.134146341463413</v>
      </c>
      <c r="G182" s="570">
        <v>2</v>
      </c>
      <c r="H182" s="570">
        <v>0</v>
      </c>
      <c r="I182" s="562">
        <v>1999</v>
      </c>
      <c r="J182" s="605">
        <f t="shared" si="23"/>
        <v>23</v>
      </c>
    </row>
    <row r="183" spans="1:13" x14ac:dyDescent="0.25">
      <c r="A183" s="113" t="s">
        <v>366</v>
      </c>
      <c r="B183" s="113" t="s">
        <v>502</v>
      </c>
      <c r="C183" s="568" t="s">
        <v>216</v>
      </c>
      <c r="D183" s="200">
        <v>350</v>
      </c>
      <c r="E183" s="570">
        <v>10178</v>
      </c>
      <c r="F183" s="117">
        <f t="shared" si="24"/>
        <v>29.08</v>
      </c>
      <c r="G183" s="570">
        <v>0</v>
      </c>
      <c r="H183" s="570">
        <v>1</v>
      </c>
      <c r="I183" s="562">
        <v>2004</v>
      </c>
      <c r="J183" s="605">
        <f t="shared" si="23"/>
        <v>18</v>
      </c>
    </row>
    <row r="184" spans="1:13" s="136" customFormat="1" x14ac:dyDescent="0.25">
      <c r="A184" s="128"/>
      <c r="B184" s="129"/>
      <c r="C184" s="90" t="s">
        <v>7</v>
      </c>
      <c r="D184" s="130">
        <f>SUM(D122:D183)</f>
        <v>15601</v>
      </c>
      <c r="E184" s="609">
        <f>SUM(E122:E183)</f>
        <v>546902</v>
      </c>
      <c r="F184" s="606"/>
      <c r="G184" s="609">
        <f>SUM(G122:G183)</f>
        <v>4391</v>
      </c>
      <c r="H184" s="609">
        <f>SUM(H122:H183)</f>
        <v>159</v>
      </c>
      <c r="I184" s="607"/>
      <c r="J184" s="608"/>
      <c r="L184" s="4"/>
      <c r="M184" s="4"/>
    </row>
    <row r="185" spans="1:13" s="142" customFormat="1" x14ac:dyDescent="0.25">
      <c r="A185" s="137"/>
      <c r="B185" s="138"/>
      <c r="C185" s="139" t="s">
        <v>8</v>
      </c>
      <c r="D185" s="130">
        <f t="shared" ref="D185:J185" si="25">AVERAGE(D122:D183)</f>
        <v>251.62903225806451</v>
      </c>
      <c r="E185" s="609">
        <f t="shared" si="25"/>
        <v>10127.814814814816</v>
      </c>
      <c r="F185" s="610">
        <f t="shared" si="25"/>
        <v>76.057178748284969</v>
      </c>
      <c r="G185" s="614">
        <f t="shared" si="25"/>
        <v>81.31481481481481</v>
      </c>
      <c r="H185" s="614">
        <f t="shared" si="25"/>
        <v>3</v>
      </c>
      <c r="I185" s="611">
        <f t="shared" si="25"/>
        <v>2004.125</v>
      </c>
      <c r="J185" s="612">
        <f t="shared" si="25"/>
        <v>17.875</v>
      </c>
      <c r="L185" s="4"/>
      <c r="M185" s="4"/>
    </row>
    <row r="186" spans="1:13" s="142" customFormat="1" x14ac:dyDescent="0.25">
      <c r="A186" s="144"/>
      <c r="B186" s="145"/>
      <c r="C186" s="139" t="s">
        <v>9</v>
      </c>
      <c r="D186" s="130">
        <f t="shared" ref="D186:J186" si="26">MEDIAN(D122:D183)</f>
        <v>288.5</v>
      </c>
      <c r="E186" s="609">
        <f t="shared" si="26"/>
        <v>10542.5</v>
      </c>
      <c r="F186" s="613">
        <f t="shared" si="26"/>
        <v>37.682496175420702</v>
      </c>
      <c r="G186" s="614">
        <f t="shared" si="26"/>
        <v>3</v>
      </c>
      <c r="H186" s="614">
        <f t="shared" si="26"/>
        <v>0</v>
      </c>
      <c r="I186" s="612">
        <f t="shared" si="26"/>
        <v>2005</v>
      </c>
      <c r="J186" s="609">
        <f t="shared" si="26"/>
        <v>17</v>
      </c>
      <c r="L186" s="4"/>
      <c r="M186" s="4"/>
    </row>
    <row r="187" spans="1:13" ht="15" customHeight="1" x14ac:dyDescent="0.25">
      <c r="C187" s="223"/>
      <c r="E187" s="152"/>
      <c r="F187" s="153"/>
      <c r="K187" s="152"/>
      <c r="L187" s="152"/>
      <c r="M187" s="152"/>
    </row>
    <row r="188" spans="1:13" ht="15" customHeight="1" x14ac:dyDescent="0.25">
      <c r="C188" s="223"/>
      <c r="E188" s="152"/>
      <c r="F188" s="152"/>
      <c r="G188" s="152"/>
      <c r="H188" s="152"/>
      <c r="I188" s="152"/>
      <c r="J188" s="152"/>
      <c r="K188" s="152"/>
      <c r="L188" s="152"/>
      <c r="M188" s="152"/>
    </row>
  </sheetData>
  <sheetProtection sheet="1" objects="1" scenarios="1"/>
  <mergeCells count="24">
    <mergeCell ref="A121:C121"/>
    <mergeCell ref="E67:H67"/>
    <mergeCell ref="I67:J67"/>
    <mergeCell ref="A69:C69"/>
    <mergeCell ref="E80:H80"/>
    <mergeCell ref="I80:J80"/>
    <mergeCell ref="A82:C82"/>
    <mergeCell ref="E103:H103"/>
    <mergeCell ref="I103:J103"/>
    <mergeCell ref="A105:C105"/>
    <mergeCell ref="E119:H119"/>
    <mergeCell ref="I119:J119"/>
    <mergeCell ref="A54:C54"/>
    <mergeCell ref="C5:C6"/>
    <mergeCell ref="D5:G5"/>
    <mergeCell ref="H5:I5"/>
    <mergeCell ref="E16:H16"/>
    <mergeCell ref="I16:J16"/>
    <mergeCell ref="A18:C18"/>
    <mergeCell ref="E22:H22"/>
    <mergeCell ref="I22:J22"/>
    <mergeCell ref="A24:C24"/>
    <mergeCell ref="E52:H52"/>
    <mergeCell ref="I52:J5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8F6D0-8B37-4F05-8924-BAFDA2DAA8B4}">
  <dimension ref="A1:S195"/>
  <sheetViews>
    <sheetView tabSelected="1" topLeftCell="B1" workbookViewId="0">
      <pane ySplit="20" topLeftCell="A21" activePane="bottomLeft" state="frozen"/>
      <selection activeCell="A20" sqref="A20:XFD20"/>
      <selection pane="bottomLeft" activeCell="H10" sqref="H10"/>
    </sheetView>
  </sheetViews>
  <sheetFormatPr defaultRowHeight="15" x14ac:dyDescent="0.25"/>
  <cols>
    <col min="1" max="1" width="15.140625" style="4" customWidth="1"/>
    <col min="2" max="2" width="45.42578125" style="4" customWidth="1"/>
    <col min="3" max="3" width="9.140625" style="4" customWidth="1"/>
    <col min="4" max="4" width="11.140625" style="4" customWidth="1"/>
    <col min="5" max="5" width="14.140625" style="4" customWidth="1"/>
    <col min="6" max="6" width="15.140625" style="4" customWidth="1"/>
    <col min="7" max="7" width="12.7109375" style="4" customWidth="1"/>
    <col min="8" max="8" width="11.5703125" style="4" customWidth="1"/>
    <col min="9" max="9" width="10.42578125" style="4" customWidth="1"/>
    <col min="10" max="10" width="11.5703125" style="4" customWidth="1"/>
    <col min="11" max="11" width="11.28515625" style="4" customWidth="1"/>
    <col min="12" max="12" width="10.7109375" style="4" customWidth="1"/>
    <col min="13" max="13" width="13.140625" style="4" customWidth="1"/>
    <col min="14" max="14" width="11.42578125" style="4" customWidth="1"/>
    <col min="15" max="16384" width="9.140625" style="4"/>
  </cols>
  <sheetData>
    <row r="1" spans="1:15" s="5" customFormat="1" ht="22.9" customHeight="1" x14ac:dyDescent="0.25">
      <c r="A1" s="2" t="s">
        <v>354</v>
      </c>
      <c r="B1" s="3"/>
      <c r="C1" s="4"/>
      <c r="D1" s="4"/>
      <c r="E1" s="4"/>
      <c r="F1" s="4"/>
      <c r="G1" s="4"/>
      <c r="H1" s="4"/>
    </row>
    <row r="2" spans="1:15" s="6" customFormat="1" ht="28.15" customHeight="1" x14ac:dyDescent="0.25">
      <c r="A2" s="2" t="s">
        <v>71</v>
      </c>
      <c r="D2" s="7"/>
      <c r="E2" s="7"/>
      <c r="F2" s="11"/>
      <c r="G2" s="7"/>
      <c r="H2" s="7"/>
      <c r="I2" s="7"/>
      <c r="J2" s="7"/>
      <c r="K2" s="7"/>
    </row>
    <row r="3" spans="1:15" s="1" customFormat="1" ht="19.149999999999999" customHeight="1" x14ac:dyDescent="0.2">
      <c r="A3" s="284" t="s">
        <v>24</v>
      </c>
      <c r="D3" s="13"/>
      <c r="E3" s="13"/>
      <c r="F3" s="11"/>
      <c r="G3" s="13"/>
      <c r="H3" s="13"/>
      <c r="I3" s="13"/>
      <c r="J3" s="13"/>
      <c r="K3" s="13"/>
    </row>
    <row r="4" spans="1:15" s="1" customFormat="1" ht="12.75" x14ac:dyDescent="0.2">
      <c r="A4" s="284"/>
      <c r="B4" s="6"/>
      <c r="D4" s="13"/>
      <c r="E4" s="13"/>
      <c r="F4" s="11"/>
      <c r="G4" s="13"/>
      <c r="H4" s="13"/>
      <c r="I4" s="13"/>
      <c r="J4" s="13"/>
      <c r="K4" s="13"/>
    </row>
    <row r="5" spans="1:15" s="1" customFormat="1" x14ac:dyDescent="0.25">
      <c r="B5" s="629"/>
      <c r="C5" s="630"/>
      <c r="D5" s="631"/>
      <c r="E5" s="631"/>
      <c r="F5" s="632" t="s">
        <v>73</v>
      </c>
      <c r="G5" s="633"/>
      <c r="H5" s="633"/>
      <c r="I5" s="633"/>
      <c r="J5" s="633"/>
      <c r="K5" s="633"/>
      <c r="L5" s="633"/>
      <c r="M5" s="634"/>
      <c r="N5" s="480"/>
      <c r="O5" s="480"/>
    </row>
    <row r="6" spans="1:15" s="1" customFormat="1" ht="46.9" customHeight="1" x14ac:dyDescent="0.25">
      <c r="A6" s="14" t="s">
        <v>4</v>
      </c>
      <c r="B6" s="635" t="s">
        <v>6</v>
      </c>
      <c r="C6" s="636"/>
      <c r="D6" s="552" t="s">
        <v>74</v>
      </c>
      <c r="E6" s="552" t="s">
        <v>289</v>
      </c>
      <c r="F6" s="637" t="s">
        <v>91</v>
      </c>
      <c r="G6" s="552" t="s">
        <v>76</v>
      </c>
      <c r="H6" s="552" t="s">
        <v>77</v>
      </c>
      <c r="I6" s="552" t="s">
        <v>78</v>
      </c>
      <c r="J6" s="552" t="s">
        <v>79</v>
      </c>
      <c r="K6" s="552" t="s">
        <v>80</v>
      </c>
      <c r="L6" s="638" t="s">
        <v>81</v>
      </c>
      <c r="M6" s="638" t="s">
        <v>82</v>
      </c>
    </row>
    <row r="7" spans="1:15" s="1" customFormat="1" ht="13.9" customHeight="1" x14ac:dyDescent="0.25">
      <c r="B7" s="34" t="s">
        <v>290</v>
      </c>
      <c r="C7" s="639" t="s">
        <v>227</v>
      </c>
      <c r="D7" s="640">
        <f>E48</f>
        <v>14.333333333333334</v>
      </c>
      <c r="E7" s="640">
        <f>F49</f>
        <v>28.511904761904759</v>
      </c>
      <c r="F7" s="641">
        <f t="shared" ref="F7:M7" si="0">G50</f>
        <v>1</v>
      </c>
      <c r="G7" s="641">
        <f t="shared" si="0"/>
        <v>0.5</v>
      </c>
      <c r="H7" s="641">
        <f t="shared" si="0"/>
        <v>1</v>
      </c>
      <c r="I7" s="641">
        <f t="shared" si="0"/>
        <v>0.75</v>
      </c>
      <c r="J7" s="641">
        <f t="shared" si="0"/>
        <v>0.45</v>
      </c>
      <c r="K7" s="641">
        <f t="shared" si="0"/>
        <v>0.9</v>
      </c>
      <c r="L7" s="641">
        <f t="shared" si="0"/>
        <v>0.21052631578947367</v>
      </c>
      <c r="M7" s="641">
        <f t="shared" si="0"/>
        <v>0.45454545454545453</v>
      </c>
    </row>
    <row r="8" spans="1:15" s="1" customFormat="1" ht="13.9" customHeight="1" x14ac:dyDescent="0.25">
      <c r="B8" s="34" t="s">
        <v>668</v>
      </c>
      <c r="C8" s="639" t="s">
        <v>227</v>
      </c>
      <c r="D8" s="640">
        <f>E64</f>
        <v>9.1666666666666661</v>
      </c>
      <c r="E8" s="640">
        <f>F65</f>
        <v>10.202941176470588</v>
      </c>
      <c r="F8" s="641">
        <f t="shared" ref="F8:M8" si="1">G66</f>
        <v>0.83333333333333337</v>
      </c>
      <c r="G8" s="641">
        <f t="shared" si="1"/>
        <v>0.83333333333333337</v>
      </c>
      <c r="H8" s="641">
        <f t="shared" si="1"/>
        <v>1</v>
      </c>
      <c r="I8" s="641">
        <f t="shared" si="1"/>
        <v>0.5</v>
      </c>
      <c r="J8" s="641">
        <f t="shared" si="1"/>
        <v>0.66666666666666663</v>
      </c>
      <c r="K8" s="641">
        <f t="shared" si="1"/>
        <v>0.83333333333333337</v>
      </c>
      <c r="L8" s="641">
        <f t="shared" si="1"/>
        <v>0.16666666666666666</v>
      </c>
      <c r="M8" s="641">
        <f t="shared" si="1"/>
        <v>0.5</v>
      </c>
    </row>
    <row r="9" spans="1:15" s="1" customFormat="1" ht="13.9" customHeight="1" x14ac:dyDescent="0.25">
      <c r="B9" s="34" t="s">
        <v>669</v>
      </c>
      <c r="C9" s="639"/>
      <c r="D9" s="640">
        <f>E78</f>
        <v>10.5</v>
      </c>
      <c r="E9" s="640">
        <f>F79</f>
        <v>13.255411255411255</v>
      </c>
      <c r="F9" s="641">
        <f t="shared" ref="F9:M9" si="2">G80</f>
        <v>0.75</v>
      </c>
      <c r="G9" s="641">
        <f t="shared" si="2"/>
        <v>0.5</v>
      </c>
      <c r="H9" s="641">
        <f t="shared" si="2"/>
        <v>1</v>
      </c>
      <c r="I9" s="641">
        <f t="shared" si="2"/>
        <v>0.66666666666666663</v>
      </c>
      <c r="J9" s="641">
        <f t="shared" si="2"/>
        <v>0.66666666666666663</v>
      </c>
      <c r="K9" s="641">
        <f t="shared" si="2"/>
        <v>0.33333333333333331</v>
      </c>
      <c r="L9" s="641">
        <f t="shared" si="2"/>
        <v>0.33333333333333331</v>
      </c>
      <c r="M9" s="641">
        <f t="shared" si="2"/>
        <v>0.33333333333333331</v>
      </c>
    </row>
    <row r="10" spans="1:15" s="1" customFormat="1" ht="13.9" customHeight="1" x14ac:dyDescent="0.25">
      <c r="B10" s="34" t="s">
        <v>673</v>
      </c>
      <c r="C10" s="639"/>
      <c r="D10" s="640">
        <f>E102</f>
        <v>3.75</v>
      </c>
      <c r="E10" s="640">
        <f>F103</f>
        <v>70.569444444444443</v>
      </c>
      <c r="F10" s="641">
        <f t="shared" ref="F10:M10" si="3">G104</f>
        <v>0.92307692307692313</v>
      </c>
      <c r="G10" s="641">
        <f t="shared" si="3"/>
        <v>0.46153846153846156</v>
      </c>
      <c r="H10" s="641">
        <f t="shared" si="3"/>
        <v>1</v>
      </c>
      <c r="I10" s="641">
        <f t="shared" si="3"/>
        <v>0.76923076923076927</v>
      </c>
      <c r="J10" s="641">
        <f t="shared" si="3"/>
        <v>0.25</v>
      </c>
      <c r="K10" s="641">
        <f t="shared" si="3"/>
        <v>0.69230769230769229</v>
      </c>
      <c r="L10" s="641">
        <f t="shared" si="3"/>
        <v>0.38461538461538464</v>
      </c>
      <c r="M10" s="641">
        <f t="shared" si="3"/>
        <v>0.72727272727272729</v>
      </c>
    </row>
    <row r="11" spans="1:15" s="1" customFormat="1" ht="13.9" customHeight="1" x14ac:dyDescent="0.25">
      <c r="B11" s="34" t="s">
        <v>671</v>
      </c>
      <c r="C11" s="639"/>
      <c r="D11" s="640">
        <f>E119</f>
        <v>6.4</v>
      </c>
      <c r="E11" s="640">
        <f>F120</f>
        <v>22.333333333333332</v>
      </c>
      <c r="F11" s="641">
        <f t="shared" ref="F11:M11" si="4">G121</f>
        <v>1</v>
      </c>
      <c r="G11" s="641">
        <f t="shared" si="4"/>
        <v>0.2</v>
      </c>
      <c r="H11" s="641">
        <f t="shared" si="4"/>
        <v>1</v>
      </c>
      <c r="I11" s="641">
        <f t="shared" si="4"/>
        <v>0.4</v>
      </c>
      <c r="J11" s="641">
        <f t="shared" si="4"/>
        <v>0.2</v>
      </c>
      <c r="K11" s="641">
        <f t="shared" si="4"/>
        <v>0.6</v>
      </c>
      <c r="L11" s="641">
        <f t="shared" si="4"/>
        <v>0.25</v>
      </c>
      <c r="M11" s="641">
        <f t="shared" si="4"/>
        <v>0.5</v>
      </c>
    </row>
    <row r="12" spans="1:15" s="1" customFormat="1" ht="13.9" customHeight="1" x14ac:dyDescent="0.25">
      <c r="B12" s="34" t="s">
        <v>672</v>
      </c>
      <c r="C12" s="639"/>
      <c r="D12" s="640">
        <f>E191</f>
        <v>5.3076923076923075</v>
      </c>
      <c r="E12" s="640">
        <f>F192</f>
        <v>3.7174999999999998</v>
      </c>
      <c r="F12" s="641">
        <f t="shared" ref="F12:M12" si="5">G193</f>
        <v>0.94736842105263153</v>
      </c>
      <c r="G12" s="641">
        <f t="shared" si="5"/>
        <v>0.25454545454545452</v>
      </c>
      <c r="H12" s="641">
        <f t="shared" si="5"/>
        <v>0.93103448275862066</v>
      </c>
      <c r="I12" s="641">
        <f t="shared" si="5"/>
        <v>0.6071428571428571</v>
      </c>
      <c r="J12" s="641">
        <f t="shared" si="5"/>
        <v>0.53488372093023251</v>
      </c>
      <c r="K12" s="641">
        <f t="shared" si="5"/>
        <v>0.72727272727272729</v>
      </c>
      <c r="L12" s="641">
        <f t="shared" si="5"/>
        <v>0.53191489361702127</v>
      </c>
      <c r="M12" s="641">
        <f t="shared" si="5"/>
        <v>0.7</v>
      </c>
    </row>
    <row r="13" spans="1:15" s="1" customFormat="1" ht="13.9" customHeight="1" x14ac:dyDescent="0.25">
      <c r="B13" s="518" t="s">
        <v>674</v>
      </c>
      <c r="C13" s="642"/>
      <c r="D13" s="643">
        <f>D14/E20</f>
        <v>7.2989690721649483</v>
      </c>
      <c r="E13" s="644">
        <f>MEDIAN(F26:F46,F57:F62,F73:F76,F87:F100,F111:F117,F128:F189)</f>
        <v>15.263157894736842</v>
      </c>
      <c r="F13" s="645">
        <f t="shared" ref="F13:M13" si="6">+F15/G20</f>
        <v>0.94285714285714284</v>
      </c>
      <c r="G13" s="645">
        <f t="shared" si="6"/>
        <v>0.36893203883495146</v>
      </c>
      <c r="H13" s="645">
        <f t="shared" si="6"/>
        <v>0.96226415094339623</v>
      </c>
      <c r="I13" s="645">
        <f t="shared" si="6"/>
        <v>0.64077669902912626</v>
      </c>
      <c r="J13" s="645">
        <f t="shared" si="6"/>
        <v>0.6853932584269663</v>
      </c>
      <c r="K13" s="645">
        <f t="shared" si="6"/>
        <v>0.74725274725274726</v>
      </c>
      <c r="L13" s="645">
        <f t="shared" si="6"/>
        <v>0.40217391304347827</v>
      </c>
      <c r="M13" s="645">
        <f t="shared" si="6"/>
        <v>0.63380281690140849</v>
      </c>
    </row>
    <row r="14" spans="1:15" s="1" customFormat="1" ht="24" customHeight="1" x14ac:dyDescent="0.25">
      <c r="B14" s="646" t="s">
        <v>225</v>
      </c>
      <c r="C14" s="647"/>
      <c r="D14" s="648">
        <f>SUM(E47,E63,E77,E101,E118,E190)</f>
        <v>708</v>
      </c>
      <c r="E14" s="649"/>
      <c r="F14" s="650"/>
      <c r="G14" s="650"/>
      <c r="H14" s="650"/>
      <c r="I14" s="650"/>
      <c r="J14" s="650"/>
      <c r="K14" s="650"/>
      <c r="L14" s="650"/>
      <c r="M14" s="650"/>
    </row>
    <row r="15" spans="1:15" s="1" customFormat="1" ht="19.899999999999999" customHeight="1" x14ac:dyDescent="0.25">
      <c r="B15" s="646" t="s">
        <v>226</v>
      </c>
      <c r="C15" s="647"/>
      <c r="D15" s="651"/>
      <c r="E15" s="649"/>
      <c r="F15" s="652">
        <f>SUM(G47,G63,G77,G101,G118,G190)</f>
        <v>99</v>
      </c>
      <c r="G15" s="652">
        <f>SUM(H47,H63,H77,H101,H118,H190)</f>
        <v>38</v>
      </c>
      <c r="H15" s="652">
        <f>SUM(I47,I63,I77,I101,I118,I190)</f>
        <v>102</v>
      </c>
      <c r="I15" s="652">
        <f>SUM(J47,J63,J77,J101,J118,J190)</f>
        <v>66</v>
      </c>
      <c r="J15" s="652">
        <v>61</v>
      </c>
      <c r="K15" s="652">
        <f>SUM(L47,L63,L77,L101,L118,L190)</f>
        <v>68</v>
      </c>
      <c r="L15" s="652">
        <f>SUM(M47,M63,M77,M101,M118,M190)</f>
        <v>37</v>
      </c>
      <c r="M15" s="652">
        <f>SUM(N47,N63,N77,N101,N118,N190)</f>
        <v>45</v>
      </c>
    </row>
    <row r="16" spans="1:15" s="1" customFormat="1" ht="12.75" x14ac:dyDescent="0.2">
      <c r="B16" s="87"/>
      <c r="C16" s="88"/>
      <c r="D16" s="88"/>
    </row>
    <row r="17" spans="1:19" s="1" customFormat="1" ht="12.75" x14ac:dyDescent="0.2">
      <c r="A17" s="14" t="s">
        <v>10</v>
      </c>
      <c r="B17" s="87"/>
      <c r="C17" s="88"/>
      <c r="D17" s="88"/>
    </row>
    <row r="18" spans="1:19" s="74" customFormat="1" ht="12.75" customHeight="1" x14ac:dyDescent="0.25">
      <c r="A18" s="653"/>
      <c r="B18" s="654"/>
      <c r="C18" s="654"/>
      <c r="D18" s="655"/>
      <c r="E18" s="656" t="s">
        <v>72</v>
      </c>
      <c r="F18" s="656" t="s">
        <v>75</v>
      </c>
      <c r="G18" s="656" t="s">
        <v>91</v>
      </c>
      <c r="H18" s="657" t="s">
        <v>84</v>
      </c>
      <c r="I18" s="658" t="s">
        <v>85</v>
      </c>
      <c r="J18" s="659"/>
      <c r="K18" s="659"/>
      <c r="L18" s="660"/>
      <c r="M18" s="661" t="s">
        <v>81</v>
      </c>
      <c r="N18" s="661" t="s">
        <v>86</v>
      </c>
    </row>
    <row r="19" spans="1:19" s="74" customFormat="1" ht="38.450000000000003" customHeight="1" x14ac:dyDescent="0.25">
      <c r="A19" s="662" t="s">
        <v>11</v>
      </c>
      <c r="B19" s="662" t="s">
        <v>12</v>
      </c>
      <c r="C19" s="662" t="s">
        <v>2</v>
      </c>
      <c r="D19" s="663" t="s">
        <v>5</v>
      </c>
      <c r="E19" s="664"/>
      <c r="F19" s="664"/>
      <c r="G19" s="665"/>
      <c r="H19" s="664"/>
      <c r="I19" s="666" t="s">
        <v>87</v>
      </c>
      <c r="J19" s="666" t="s">
        <v>88</v>
      </c>
      <c r="K19" s="666" t="s">
        <v>89</v>
      </c>
      <c r="L19" s="666" t="s">
        <v>90</v>
      </c>
      <c r="M19" s="664"/>
      <c r="N19" s="667"/>
    </row>
    <row r="20" spans="1:19" s="74" customFormat="1" ht="15" customHeight="1" x14ac:dyDescent="0.25">
      <c r="A20" s="668" t="s">
        <v>56</v>
      </c>
      <c r="B20" s="110"/>
      <c r="C20" s="111"/>
      <c r="D20" s="669">
        <f>+D25+D56+D72+D86+D110+D127</f>
        <v>114</v>
      </c>
      <c r="E20" s="669">
        <f t="shared" ref="E20:N20" si="7">+E25+E56+E72+E86+E110+E127</f>
        <v>97</v>
      </c>
      <c r="F20" s="669">
        <f t="shared" si="7"/>
        <v>97</v>
      </c>
      <c r="G20" s="669">
        <f t="shared" si="7"/>
        <v>105</v>
      </c>
      <c r="H20" s="669">
        <f t="shared" si="7"/>
        <v>103</v>
      </c>
      <c r="I20" s="669">
        <f t="shared" si="7"/>
        <v>106</v>
      </c>
      <c r="J20" s="669">
        <f t="shared" si="7"/>
        <v>103</v>
      </c>
      <c r="K20" s="669">
        <f t="shared" si="7"/>
        <v>89</v>
      </c>
      <c r="L20" s="669">
        <f t="shared" si="7"/>
        <v>91</v>
      </c>
      <c r="M20" s="669">
        <f t="shared" si="7"/>
        <v>92</v>
      </c>
      <c r="N20" s="669">
        <f t="shared" si="7"/>
        <v>71</v>
      </c>
      <c r="S20" s="4"/>
    </row>
    <row r="21" spans="1:19" s="1" customFormat="1" ht="12.75" x14ac:dyDescent="0.2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9" s="161" customFormat="1" ht="13.15" customHeight="1" x14ac:dyDescent="0.25">
      <c r="A22" s="538" t="s">
        <v>290</v>
      </c>
      <c r="B22" s="539"/>
      <c r="C22" s="539"/>
      <c r="D22" s="540"/>
      <c r="E22" s="543"/>
      <c r="F22" s="543"/>
      <c r="G22" s="544"/>
      <c r="H22" s="541"/>
      <c r="I22" s="543"/>
      <c r="J22" s="543"/>
      <c r="K22" s="543"/>
      <c r="L22" s="543"/>
      <c r="M22" s="543"/>
      <c r="N22" s="670"/>
    </row>
    <row r="23" spans="1:19" s="74" customFormat="1" ht="23.45" customHeight="1" x14ac:dyDescent="0.25">
      <c r="A23" s="602"/>
      <c r="B23" s="603"/>
      <c r="C23" s="603"/>
      <c r="D23" s="604"/>
      <c r="E23" s="671" t="s">
        <v>72</v>
      </c>
      <c r="F23" s="672" t="s">
        <v>75</v>
      </c>
      <c r="G23" s="671" t="s">
        <v>91</v>
      </c>
      <c r="H23" s="673" t="s">
        <v>84</v>
      </c>
      <c r="I23" s="504" t="s">
        <v>85</v>
      </c>
      <c r="J23" s="96"/>
      <c r="K23" s="96"/>
      <c r="L23" s="97"/>
      <c r="M23" s="674" t="s">
        <v>81</v>
      </c>
      <c r="N23" s="674" t="s">
        <v>86</v>
      </c>
    </row>
    <row r="24" spans="1:19" s="74" customFormat="1" ht="34.15" customHeight="1" x14ac:dyDescent="0.25">
      <c r="A24" s="100" t="s">
        <v>11</v>
      </c>
      <c r="B24" s="100" t="s">
        <v>12</v>
      </c>
      <c r="C24" s="100" t="s">
        <v>2</v>
      </c>
      <c r="D24" s="675" t="s">
        <v>5</v>
      </c>
      <c r="E24" s="676"/>
      <c r="F24" s="677"/>
      <c r="G24" s="676"/>
      <c r="H24" s="676"/>
      <c r="I24" s="105" t="s">
        <v>87</v>
      </c>
      <c r="J24" s="105" t="s">
        <v>88</v>
      </c>
      <c r="K24" s="105" t="s">
        <v>89</v>
      </c>
      <c r="L24" s="105" t="s">
        <v>90</v>
      </c>
      <c r="M24" s="676"/>
      <c r="N24" s="678"/>
    </row>
    <row r="25" spans="1:19" s="74" customFormat="1" ht="19.899999999999999" customHeight="1" x14ac:dyDescent="0.25">
      <c r="A25" s="109" t="s">
        <v>56</v>
      </c>
      <c r="B25" s="110"/>
      <c r="C25" s="111"/>
      <c r="D25" s="112">
        <v>21</v>
      </c>
      <c r="E25" s="112">
        <v>18</v>
      </c>
      <c r="F25" s="112">
        <v>18</v>
      </c>
      <c r="G25" s="112">
        <v>20</v>
      </c>
      <c r="H25" s="112">
        <v>20</v>
      </c>
      <c r="I25" s="112">
        <v>20</v>
      </c>
      <c r="J25" s="112">
        <v>20</v>
      </c>
      <c r="K25" s="112">
        <v>20</v>
      </c>
      <c r="L25" s="112">
        <v>20</v>
      </c>
      <c r="M25" s="112">
        <v>19</v>
      </c>
      <c r="N25" s="112">
        <v>11</v>
      </c>
    </row>
    <row r="26" spans="1:19" ht="14.25" customHeight="1" x14ac:dyDescent="0.25">
      <c r="A26" s="113" t="s">
        <v>361</v>
      </c>
      <c r="B26" s="113" t="s">
        <v>253</v>
      </c>
      <c r="C26" s="114" t="s">
        <v>209</v>
      </c>
      <c r="D26" s="115">
        <v>1092</v>
      </c>
      <c r="E26" s="570">
        <v>3</v>
      </c>
      <c r="F26" s="595">
        <f>+D26/E26</f>
        <v>364</v>
      </c>
      <c r="G26" s="679" t="s">
        <v>224</v>
      </c>
      <c r="H26" s="120" t="s">
        <v>227</v>
      </c>
      <c r="I26" s="120" t="s">
        <v>224</v>
      </c>
      <c r="J26" s="120" t="s">
        <v>224</v>
      </c>
      <c r="K26" s="120"/>
      <c r="L26" s="120" t="s">
        <v>224</v>
      </c>
      <c r="M26" s="120" t="s">
        <v>227</v>
      </c>
      <c r="N26" s="120" t="s">
        <v>224</v>
      </c>
    </row>
    <row r="27" spans="1:19" ht="14.25" customHeight="1" x14ac:dyDescent="0.25">
      <c r="A27" s="113" t="s">
        <v>163</v>
      </c>
      <c r="B27" s="113" t="s">
        <v>162</v>
      </c>
      <c r="C27" s="114" t="s">
        <v>209</v>
      </c>
      <c r="D27" s="115">
        <v>220</v>
      </c>
      <c r="E27" s="570">
        <v>28</v>
      </c>
      <c r="F27" s="595">
        <f>+D27/E27</f>
        <v>7.8571428571428568</v>
      </c>
      <c r="G27" s="120" t="s">
        <v>224</v>
      </c>
      <c r="H27" s="120" t="s">
        <v>224</v>
      </c>
      <c r="I27" s="120" t="s">
        <v>224</v>
      </c>
      <c r="J27" s="120" t="s">
        <v>224</v>
      </c>
      <c r="K27" s="120" t="s">
        <v>224</v>
      </c>
      <c r="L27" s="120" t="s">
        <v>224</v>
      </c>
      <c r="M27" s="120" t="s">
        <v>227</v>
      </c>
      <c r="N27" s="120" t="s">
        <v>227</v>
      </c>
    </row>
    <row r="28" spans="1:19" ht="14.25" customHeight="1" x14ac:dyDescent="0.25">
      <c r="A28" s="113" t="s">
        <v>156</v>
      </c>
      <c r="B28" s="113" t="s">
        <v>236</v>
      </c>
      <c r="C28" s="114" t="s">
        <v>209</v>
      </c>
      <c r="D28" s="115">
        <v>153</v>
      </c>
      <c r="E28" s="570">
        <v>7</v>
      </c>
      <c r="F28" s="595">
        <f>+D28/E28</f>
        <v>21.857142857142858</v>
      </c>
      <c r="G28" s="120" t="s">
        <v>224</v>
      </c>
      <c r="H28" s="120" t="s">
        <v>227</v>
      </c>
      <c r="I28" s="120" t="s">
        <v>224</v>
      </c>
      <c r="J28" s="120" t="s">
        <v>224</v>
      </c>
      <c r="K28" s="120" t="s">
        <v>224</v>
      </c>
      <c r="L28" s="120" t="s">
        <v>224</v>
      </c>
      <c r="M28" s="120" t="s">
        <v>227</v>
      </c>
      <c r="N28" s="120" t="s">
        <v>227</v>
      </c>
    </row>
    <row r="29" spans="1:19" ht="14.25" customHeight="1" x14ac:dyDescent="0.25">
      <c r="A29" s="113" t="s">
        <v>362</v>
      </c>
      <c r="B29" s="113" t="s">
        <v>145</v>
      </c>
      <c r="C29" s="114" t="s">
        <v>209</v>
      </c>
      <c r="D29" s="115">
        <v>1152</v>
      </c>
      <c r="E29" s="570">
        <v>32</v>
      </c>
      <c r="F29" s="595">
        <f>+D29/E29</f>
        <v>36</v>
      </c>
      <c r="G29" s="120" t="s">
        <v>224</v>
      </c>
      <c r="H29" s="120" t="s">
        <v>227</v>
      </c>
      <c r="I29" s="120" t="s">
        <v>224</v>
      </c>
      <c r="J29" s="679" t="s">
        <v>227</v>
      </c>
      <c r="K29" s="120"/>
      <c r="L29" s="120" t="s">
        <v>227</v>
      </c>
      <c r="M29" s="120" t="s">
        <v>227</v>
      </c>
      <c r="N29" s="120" t="s">
        <v>227</v>
      </c>
    </row>
    <row r="30" spans="1:19" ht="14.25" customHeight="1" x14ac:dyDescent="0.25">
      <c r="A30" s="113" t="s">
        <v>362</v>
      </c>
      <c r="B30" s="113" t="s">
        <v>176</v>
      </c>
      <c r="C30" s="114" t="s">
        <v>209</v>
      </c>
      <c r="D30" s="115">
        <v>147</v>
      </c>
      <c r="E30" s="570">
        <v>0</v>
      </c>
      <c r="F30" s="600">
        <v>0</v>
      </c>
      <c r="G30" s="120" t="s">
        <v>224</v>
      </c>
      <c r="H30" s="120" t="s">
        <v>227</v>
      </c>
      <c r="I30" s="120" t="s">
        <v>224</v>
      </c>
      <c r="J30" s="120" t="s">
        <v>224</v>
      </c>
      <c r="K30" s="120"/>
      <c r="L30" s="120" t="s">
        <v>224</v>
      </c>
      <c r="M30" s="120" t="s">
        <v>227</v>
      </c>
      <c r="N30" s="120" t="s">
        <v>227</v>
      </c>
    </row>
    <row r="31" spans="1:19" ht="14.25" customHeight="1" x14ac:dyDescent="0.25">
      <c r="A31" s="113" t="s">
        <v>363</v>
      </c>
      <c r="B31" s="113" t="s">
        <v>355</v>
      </c>
      <c r="C31" s="114" t="s">
        <v>209</v>
      </c>
      <c r="D31" s="115">
        <v>422</v>
      </c>
      <c r="E31" s="570">
        <v>12</v>
      </c>
      <c r="F31" s="600">
        <f t="shared" ref="F31:F36" si="8">+D31/E31</f>
        <v>35.166666666666664</v>
      </c>
      <c r="G31" s="120" t="s">
        <v>224</v>
      </c>
      <c r="H31" s="120" t="s">
        <v>224</v>
      </c>
      <c r="I31" s="120" t="s">
        <v>224</v>
      </c>
      <c r="J31" s="120" t="s">
        <v>224</v>
      </c>
      <c r="K31" s="120" t="s">
        <v>224</v>
      </c>
      <c r="L31" s="120" t="s">
        <v>224</v>
      </c>
      <c r="M31" s="120" t="s">
        <v>227</v>
      </c>
      <c r="N31" s="475" t="s">
        <v>233</v>
      </c>
    </row>
    <row r="32" spans="1:19" ht="14.25" customHeight="1" x14ac:dyDescent="0.25">
      <c r="A32" s="113" t="s">
        <v>148</v>
      </c>
      <c r="B32" s="113" t="s">
        <v>152</v>
      </c>
      <c r="C32" s="114" t="s">
        <v>209</v>
      </c>
      <c r="D32" s="115">
        <v>1557</v>
      </c>
      <c r="E32" s="570">
        <v>38</v>
      </c>
      <c r="F32" s="600">
        <f t="shared" si="8"/>
        <v>40.973684210526315</v>
      </c>
      <c r="G32" s="120" t="s">
        <v>224</v>
      </c>
      <c r="H32" s="120" t="s">
        <v>224</v>
      </c>
      <c r="I32" s="120" t="s">
        <v>224</v>
      </c>
      <c r="J32" s="120" t="s">
        <v>224</v>
      </c>
      <c r="K32" s="120"/>
      <c r="L32" s="120" t="s">
        <v>224</v>
      </c>
      <c r="M32" s="120" t="s">
        <v>227</v>
      </c>
      <c r="N32" s="475" t="s">
        <v>233</v>
      </c>
    </row>
    <row r="33" spans="1:14" ht="14.25" customHeight="1" x14ac:dyDescent="0.25">
      <c r="A33" s="113" t="s">
        <v>148</v>
      </c>
      <c r="B33" s="113" t="s">
        <v>170</v>
      </c>
      <c r="C33" s="114" t="s">
        <v>209</v>
      </c>
      <c r="D33" s="115">
        <v>1228</v>
      </c>
      <c r="E33" s="570">
        <v>70</v>
      </c>
      <c r="F33" s="600">
        <f t="shared" si="8"/>
        <v>17.542857142857144</v>
      </c>
      <c r="G33" s="120" t="s">
        <v>224</v>
      </c>
      <c r="H33" s="120" t="s">
        <v>224</v>
      </c>
      <c r="I33" s="120" t="s">
        <v>224</v>
      </c>
      <c r="J33" s="120" t="s">
        <v>224</v>
      </c>
      <c r="K33" s="120"/>
      <c r="L33" s="120" t="s">
        <v>224</v>
      </c>
      <c r="M33" s="120" t="s">
        <v>227</v>
      </c>
      <c r="N33" s="475" t="s">
        <v>233</v>
      </c>
    </row>
    <row r="34" spans="1:14" ht="14.25" customHeight="1" x14ac:dyDescent="0.25">
      <c r="A34" s="113" t="s">
        <v>148</v>
      </c>
      <c r="B34" s="113" t="s">
        <v>291</v>
      </c>
      <c r="C34" s="114" t="s">
        <v>209</v>
      </c>
      <c r="D34" s="115">
        <v>175</v>
      </c>
      <c r="E34" s="570">
        <v>3</v>
      </c>
      <c r="F34" s="600">
        <f t="shared" si="8"/>
        <v>58.333333333333336</v>
      </c>
      <c r="G34" s="120" t="s">
        <v>224</v>
      </c>
      <c r="H34" s="120" t="s">
        <v>224</v>
      </c>
      <c r="I34" s="120" t="s">
        <v>224</v>
      </c>
      <c r="J34" s="679" t="s">
        <v>227</v>
      </c>
      <c r="K34" s="120"/>
      <c r="L34" s="120" t="s">
        <v>224</v>
      </c>
      <c r="M34" s="120" t="s">
        <v>227</v>
      </c>
      <c r="N34" s="475" t="s">
        <v>233</v>
      </c>
    </row>
    <row r="35" spans="1:14" ht="14.25" customHeight="1" x14ac:dyDescent="0.25">
      <c r="A35" s="113" t="s">
        <v>178</v>
      </c>
      <c r="B35" s="113" t="s">
        <v>206</v>
      </c>
      <c r="C35" s="114" t="s">
        <v>209</v>
      </c>
      <c r="D35" s="115">
        <v>862</v>
      </c>
      <c r="E35" s="570">
        <v>4</v>
      </c>
      <c r="F35" s="600">
        <f t="shared" si="8"/>
        <v>215.5</v>
      </c>
      <c r="G35" s="120" t="s">
        <v>224</v>
      </c>
      <c r="H35" s="120" t="s">
        <v>227</v>
      </c>
      <c r="I35" s="120" t="s">
        <v>224</v>
      </c>
      <c r="J35" s="120" t="s">
        <v>224</v>
      </c>
      <c r="K35" s="120"/>
      <c r="L35" s="120" t="s">
        <v>227</v>
      </c>
      <c r="M35" s="120" t="s">
        <v>224</v>
      </c>
      <c r="N35" s="120" t="s">
        <v>224</v>
      </c>
    </row>
    <row r="36" spans="1:14" ht="14.25" customHeight="1" x14ac:dyDescent="0.25">
      <c r="A36" s="113" t="s">
        <v>364</v>
      </c>
      <c r="B36" s="113" t="s">
        <v>356</v>
      </c>
      <c r="C36" s="114" t="s">
        <v>209</v>
      </c>
      <c r="D36" s="115">
        <v>2017</v>
      </c>
      <c r="E36" s="570">
        <v>28</v>
      </c>
      <c r="F36" s="595">
        <f t="shared" si="8"/>
        <v>72.035714285714292</v>
      </c>
      <c r="G36" s="120" t="s">
        <v>224</v>
      </c>
      <c r="H36" s="120" t="s">
        <v>227</v>
      </c>
      <c r="I36" s="120" t="s">
        <v>224</v>
      </c>
      <c r="J36" s="120" t="s">
        <v>224</v>
      </c>
      <c r="K36" s="120"/>
      <c r="L36" s="120" t="s">
        <v>224</v>
      </c>
      <c r="M36" s="120" t="s">
        <v>227</v>
      </c>
      <c r="N36" s="475" t="s">
        <v>233</v>
      </c>
    </row>
    <row r="37" spans="1:14" ht="14.25" customHeight="1" x14ac:dyDescent="0.25">
      <c r="A37" s="113" t="s">
        <v>364</v>
      </c>
      <c r="B37" s="113" t="s">
        <v>237</v>
      </c>
      <c r="C37" s="114" t="s">
        <v>209</v>
      </c>
      <c r="D37" s="115">
        <v>235</v>
      </c>
      <c r="E37" s="624" t="s">
        <v>233</v>
      </c>
      <c r="F37" s="680" t="s">
        <v>233</v>
      </c>
      <c r="G37" s="475" t="s">
        <v>233</v>
      </c>
      <c r="H37" s="475" t="s">
        <v>233</v>
      </c>
      <c r="I37" s="475" t="s">
        <v>233</v>
      </c>
      <c r="J37" s="475" t="s">
        <v>233</v>
      </c>
      <c r="K37" s="475" t="s">
        <v>233</v>
      </c>
      <c r="L37" s="475" t="s">
        <v>233</v>
      </c>
      <c r="M37" s="475" t="s">
        <v>233</v>
      </c>
      <c r="N37" s="475" t="s">
        <v>233</v>
      </c>
    </row>
    <row r="38" spans="1:14" ht="14.25" customHeight="1" x14ac:dyDescent="0.25">
      <c r="A38" s="113" t="s">
        <v>149</v>
      </c>
      <c r="B38" s="113" t="s">
        <v>238</v>
      </c>
      <c r="C38" s="114" t="s">
        <v>209</v>
      </c>
      <c r="D38" s="115">
        <v>612</v>
      </c>
      <c r="E38" s="570">
        <v>6</v>
      </c>
      <c r="F38" s="117">
        <f>+D38/E38</f>
        <v>102</v>
      </c>
      <c r="G38" s="120" t="s">
        <v>224</v>
      </c>
      <c r="H38" s="120" t="s">
        <v>227</v>
      </c>
      <c r="I38" s="120" t="s">
        <v>224</v>
      </c>
      <c r="J38" s="120" t="s">
        <v>224</v>
      </c>
      <c r="K38" s="120"/>
      <c r="L38" s="120" t="s">
        <v>224</v>
      </c>
      <c r="M38" s="120" t="s">
        <v>224</v>
      </c>
      <c r="N38" s="120" t="s">
        <v>224</v>
      </c>
    </row>
    <row r="39" spans="1:14" ht="14.25" customHeight="1" x14ac:dyDescent="0.25">
      <c r="A39" s="113" t="s">
        <v>181</v>
      </c>
      <c r="B39" s="113" t="s">
        <v>208</v>
      </c>
      <c r="C39" s="114" t="s">
        <v>209</v>
      </c>
      <c r="D39" s="115">
        <v>274</v>
      </c>
      <c r="E39" s="570">
        <v>26</v>
      </c>
      <c r="F39" s="595">
        <f>+D39/E39</f>
        <v>10.538461538461538</v>
      </c>
      <c r="G39" s="120" t="s">
        <v>224</v>
      </c>
      <c r="H39" s="120" t="s">
        <v>224</v>
      </c>
      <c r="I39" s="120" t="s">
        <v>224</v>
      </c>
      <c r="J39" s="679" t="s">
        <v>227</v>
      </c>
      <c r="K39" s="120" t="s">
        <v>224</v>
      </c>
      <c r="L39" s="120" t="s">
        <v>224</v>
      </c>
      <c r="M39" s="120" t="s">
        <v>224</v>
      </c>
      <c r="N39" s="475" t="s">
        <v>233</v>
      </c>
    </row>
    <row r="40" spans="1:14" ht="14.25" customHeight="1" x14ac:dyDescent="0.25">
      <c r="A40" s="113" t="s">
        <v>143</v>
      </c>
      <c r="B40" s="113" t="s">
        <v>142</v>
      </c>
      <c r="C40" s="114" t="s">
        <v>209</v>
      </c>
      <c r="D40" s="115">
        <v>151</v>
      </c>
      <c r="E40" s="570">
        <v>0</v>
      </c>
      <c r="F40" s="595">
        <v>0</v>
      </c>
      <c r="G40" s="120" t="s">
        <v>224</v>
      </c>
      <c r="H40" s="120" t="s">
        <v>224</v>
      </c>
      <c r="I40" s="120" t="s">
        <v>224</v>
      </c>
      <c r="J40" s="120" t="s">
        <v>224</v>
      </c>
      <c r="K40" s="120" t="s">
        <v>224</v>
      </c>
      <c r="L40" s="120" t="s">
        <v>224</v>
      </c>
      <c r="M40" s="120" t="s">
        <v>227</v>
      </c>
      <c r="N40" s="120" t="s">
        <v>224</v>
      </c>
    </row>
    <row r="41" spans="1:14" ht="14.25" customHeight="1" x14ac:dyDescent="0.25">
      <c r="A41" s="113" t="s">
        <v>365</v>
      </c>
      <c r="B41" s="113" t="s">
        <v>158</v>
      </c>
      <c r="C41" s="114" t="s">
        <v>209</v>
      </c>
      <c r="D41" s="115">
        <v>794</v>
      </c>
      <c r="E41" s="570">
        <v>0</v>
      </c>
      <c r="F41" s="560">
        <v>0</v>
      </c>
      <c r="G41" s="120" t="s">
        <v>224</v>
      </c>
      <c r="H41" s="120" t="s">
        <v>224</v>
      </c>
      <c r="I41" s="120" t="s">
        <v>224</v>
      </c>
      <c r="J41" s="120" t="s">
        <v>224</v>
      </c>
      <c r="K41" s="120" t="s">
        <v>224</v>
      </c>
      <c r="L41" s="120" t="s">
        <v>224</v>
      </c>
      <c r="M41" s="120" t="s">
        <v>224</v>
      </c>
      <c r="N41" s="120" t="s">
        <v>224</v>
      </c>
    </row>
    <row r="42" spans="1:14" ht="14.25" customHeight="1" x14ac:dyDescent="0.25">
      <c r="A42" s="113" t="s">
        <v>365</v>
      </c>
      <c r="B42" s="113" t="s">
        <v>357</v>
      </c>
      <c r="C42" s="114" t="s">
        <v>209</v>
      </c>
      <c r="D42" s="115">
        <v>46</v>
      </c>
      <c r="E42" s="624" t="s">
        <v>233</v>
      </c>
      <c r="F42" s="680" t="s">
        <v>233</v>
      </c>
      <c r="G42" s="120" t="s">
        <v>224</v>
      </c>
      <c r="H42" s="120" t="s">
        <v>224</v>
      </c>
      <c r="I42" s="120" t="s">
        <v>224</v>
      </c>
      <c r="J42" s="120" t="s">
        <v>224</v>
      </c>
      <c r="K42" s="120" t="s">
        <v>224</v>
      </c>
      <c r="L42" s="120" t="s">
        <v>224</v>
      </c>
      <c r="M42" s="475" t="s">
        <v>233</v>
      </c>
      <c r="N42" s="475" t="s">
        <v>233</v>
      </c>
    </row>
    <row r="43" spans="1:14" ht="14.25" customHeight="1" x14ac:dyDescent="0.25">
      <c r="A43" s="113" t="s">
        <v>153</v>
      </c>
      <c r="B43" s="113" t="s">
        <v>235</v>
      </c>
      <c r="C43" s="114" t="s">
        <v>209</v>
      </c>
      <c r="D43" s="115">
        <v>774</v>
      </c>
      <c r="E43" s="570">
        <v>1</v>
      </c>
      <c r="F43" s="595">
        <f>+D43/E43</f>
        <v>774</v>
      </c>
      <c r="G43" s="120" t="s">
        <v>224</v>
      </c>
      <c r="H43" s="120" t="s">
        <v>224</v>
      </c>
      <c r="I43" s="120" t="s">
        <v>224</v>
      </c>
      <c r="J43" s="120" t="s">
        <v>224</v>
      </c>
      <c r="K43" s="120" t="s">
        <v>224</v>
      </c>
      <c r="L43" s="120" t="s">
        <v>224</v>
      </c>
      <c r="M43" s="120" t="s">
        <v>227</v>
      </c>
      <c r="N43" s="120" t="s">
        <v>227</v>
      </c>
    </row>
    <row r="44" spans="1:14" ht="14.25" customHeight="1" x14ac:dyDescent="0.25">
      <c r="A44" s="113" t="s">
        <v>198</v>
      </c>
      <c r="B44" s="113" t="s">
        <v>358</v>
      </c>
      <c r="C44" s="114" t="s">
        <v>209</v>
      </c>
      <c r="D44" s="115">
        <v>230</v>
      </c>
      <c r="E44" s="624" t="s">
        <v>233</v>
      </c>
      <c r="F44" s="680" t="s">
        <v>233</v>
      </c>
      <c r="G44" s="120" t="s">
        <v>224</v>
      </c>
      <c r="H44" s="120" t="s">
        <v>227</v>
      </c>
      <c r="I44" s="120" t="s">
        <v>224</v>
      </c>
      <c r="J44" s="120" t="s">
        <v>224</v>
      </c>
      <c r="K44" s="120"/>
      <c r="L44" s="120" t="s">
        <v>224</v>
      </c>
      <c r="M44" s="120" t="s">
        <v>227</v>
      </c>
      <c r="N44" s="120" t="s">
        <v>227</v>
      </c>
    </row>
    <row r="45" spans="1:14" ht="14.25" customHeight="1" x14ac:dyDescent="0.25">
      <c r="A45" s="113" t="s">
        <v>174</v>
      </c>
      <c r="B45" s="113" t="s">
        <v>359</v>
      </c>
      <c r="C45" s="127" t="s">
        <v>209</v>
      </c>
      <c r="D45" s="115">
        <v>405</v>
      </c>
      <c r="E45" s="570">
        <v>0</v>
      </c>
      <c r="F45" s="560">
        <v>0</v>
      </c>
      <c r="G45" s="120" t="s">
        <v>224</v>
      </c>
      <c r="H45" s="120" t="s">
        <v>227</v>
      </c>
      <c r="I45" s="120" t="s">
        <v>224</v>
      </c>
      <c r="J45" s="679" t="s">
        <v>232</v>
      </c>
      <c r="K45" s="120"/>
      <c r="L45" s="120" t="s">
        <v>224</v>
      </c>
      <c r="M45" s="120" t="s">
        <v>227</v>
      </c>
      <c r="N45" s="475" t="s">
        <v>233</v>
      </c>
    </row>
    <row r="46" spans="1:14" ht="14.25" customHeight="1" x14ac:dyDescent="0.25">
      <c r="A46" s="113" t="s">
        <v>366</v>
      </c>
      <c r="B46" s="113" t="s">
        <v>360</v>
      </c>
      <c r="C46" s="127" t="s">
        <v>209</v>
      </c>
      <c r="D46" s="115">
        <v>237</v>
      </c>
      <c r="E46" s="570">
        <v>0</v>
      </c>
      <c r="F46" s="560">
        <v>0</v>
      </c>
      <c r="G46" s="120" t="s">
        <v>224</v>
      </c>
      <c r="H46" s="120" t="s">
        <v>227</v>
      </c>
      <c r="I46" s="120" t="s">
        <v>224</v>
      </c>
      <c r="J46" s="679" t="s">
        <v>232</v>
      </c>
      <c r="K46" s="120" t="s">
        <v>224</v>
      </c>
      <c r="L46" s="120" t="s">
        <v>224</v>
      </c>
      <c r="M46" s="120" t="s">
        <v>227</v>
      </c>
      <c r="N46" s="475" t="s">
        <v>233</v>
      </c>
    </row>
    <row r="47" spans="1:14" s="136" customFormat="1" ht="14.25" customHeight="1" x14ac:dyDescent="0.25">
      <c r="A47" s="128"/>
      <c r="B47" s="129"/>
      <c r="C47" s="90" t="s">
        <v>7</v>
      </c>
      <c r="D47" s="130">
        <f>SUM(D26:D46)</f>
        <v>12783</v>
      </c>
      <c r="E47" s="130">
        <f>SUM(E26:E46)</f>
        <v>258</v>
      </c>
      <c r="F47" s="619"/>
      <c r="G47" s="134">
        <v>20</v>
      </c>
      <c r="H47" s="134">
        <v>10</v>
      </c>
      <c r="I47" s="134">
        <v>20</v>
      </c>
      <c r="J47" s="134">
        <v>15</v>
      </c>
      <c r="K47" s="134">
        <v>9</v>
      </c>
      <c r="L47" s="134">
        <v>18</v>
      </c>
      <c r="M47" s="134">
        <v>4</v>
      </c>
      <c r="N47" s="134">
        <v>5</v>
      </c>
    </row>
    <row r="48" spans="1:14" s="142" customFormat="1" ht="14.25" customHeight="1" x14ac:dyDescent="0.25">
      <c r="A48" s="137"/>
      <c r="B48" s="138"/>
      <c r="C48" s="139" t="s">
        <v>8</v>
      </c>
      <c r="D48" s="130">
        <f>AVERAGE(D26:D46)</f>
        <v>608.71428571428567</v>
      </c>
      <c r="E48" s="133">
        <f>AVERAGE(E26:E46)</f>
        <v>14.333333333333334</v>
      </c>
      <c r="F48" s="619">
        <f>AVERAGE(F26:F46)</f>
        <v>97.544722382880281</v>
      </c>
      <c r="G48" s="134"/>
      <c r="H48" s="134"/>
      <c r="I48" s="134"/>
      <c r="J48" s="134"/>
      <c r="K48" s="134"/>
      <c r="L48" s="134"/>
      <c r="M48" s="134"/>
      <c r="N48" s="134"/>
    </row>
    <row r="49" spans="1:14" s="142" customFormat="1" ht="14.25" customHeight="1" x14ac:dyDescent="0.25">
      <c r="A49" s="137"/>
      <c r="B49" s="138"/>
      <c r="C49" s="139" t="s">
        <v>9</v>
      </c>
      <c r="D49" s="130">
        <f>MEDIAN(D26:D46)</f>
        <v>405</v>
      </c>
      <c r="E49" s="133">
        <f>MEDIAN(E26:E46)</f>
        <v>5</v>
      </c>
      <c r="F49" s="133">
        <f>MEDIAN(F26:F46)</f>
        <v>28.511904761904759</v>
      </c>
      <c r="G49" s="134"/>
      <c r="H49" s="134"/>
      <c r="I49" s="134"/>
      <c r="J49" s="134"/>
      <c r="K49" s="134"/>
      <c r="L49" s="134"/>
      <c r="M49" s="134"/>
      <c r="N49" s="134"/>
    </row>
    <row r="50" spans="1:14" s="142" customFormat="1" ht="14.25" customHeight="1" x14ac:dyDescent="0.25">
      <c r="A50" s="144"/>
      <c r="B50" s="145"/>
      <c r="C50" s="139" t="s">
        <v>30</v>
      </c>
      <c r="D50" s="146"/>
      <c r="E50" s="130"/>
      <c r="F50" s="133"/>
      <c r="G50" s="148">
        <f t="shared" ref="G50:N50" si="9">+G47/G25</f>
        <v>1</v>
      </c>
      <c r="H50" s="148">
        <f t="shared" si="9"/>
        <v>0.5</v>
      </c>
      <c r="I50" s="148">
        <f t="shared" si="9"/>
        <v>1</v>
      </c>
      <c r="J50" s="148">
        <f t="shared" si="9"/>
        <v>0.75</v>
      </c>
      <c r="K50" s="148">
        <f t="shared" si="9"/>
        <v>0.45</v>
      </c>
      <c r="L50" s="148">
        <f t="shared" si="9"/>
        <v>0.9</v>
      </c>
      <c r="M50" s="148">
        <f t="shared" si="9"/>
        <v>0.21052631578947367</v>
      </c>
      <c r="N50" s="148">
        <f t="shared" si="9"/>
        <v>0.45454545454545453</v>
      </c>
    </row>
    <row r="51" spans="1:14" x14ac:dyDescent="0.25">
      <c r="B51" s="150"/>
      <c r="C51" s="151"/>
      <c r="D51" s="152"/>
    </row>
    <row r="52" spans="1:14" x14ac:dyDescent="0.25">
      <c r="B52" s="150"/>
      <c r="C52" s="151"/>
      <c r="D52" s="152"/>
    </row>
    <row r="53" spans="1:14" s="161" customFormat="1" ht="13.15" customHeight="1" x14ac:dyDescent="0.25">
      <c r="A53" s="538" t="s">
        <v>668</v>
      </c>
      <c r="B53" s="539"/>
      <c r="C53" s="539"/>
      <c r="D53" s="540"/>
      <c r="E53" s="543"/>
      <c r="F53" s="543"/>
      <c r="G53" s="544"/>
      <c r="H53" s="541"/>
      <c r="I53" s="543"/>
      <c r="J53" s="543"/>
      <c r="K53" s="543"/>
      <c r="L53" s="543"/>
      <c r="M53" s="543"/>
      <c r="N53" s="670"/>
    </row>
    <row r="54" spans="1:14" s="74" customFormat="1" ht="18.600000000000001" customHeight="1" x14ac:dyDescent="0.25">
      <c r="A54" s="602"/>
      <c r="B54" s="603"/>
      <c r="C54" s="603"/>
      <c r="D54" s="604"/>
      <c r="E54" s="681" t="s">
        <v>72</v>
      </c>
      <c r="F54" s="672" t="s">
        <v>75</v>
      </c>
      <c r="G54" s="671" t="s">
        <v>91</v>
      </c>
      <c r="H54" s="673" t="s">
        <v>84</v>
      </c>
      <c r="I54" s="504" t="s">
        <v>85</v>
      </c>
      <c r="J54" s="96"/>
      <c r="K54" s="96"/>
      <c r="L54" s="97"/>
      <c r="M54" s="674" t="s">
        <v>81</v>
      </c>
      <c r="N54" s="674" t="s">
        <v>86</v>
      </c>
    </row>
    <row r="55" spans="1:14" s="74" customFormat="1" ht="27.6" customHeight="1" x14ac:dyDescent="0.25">
      <c r="A55" s="100" t="s">
        <v>11</v>
      </c>
      <c r="B55" s="100" t="s">
        <v>12</v>
      </c>
      <c r="C55" s="100" t="s">
        <v>2</v>
      </c>
      <c r="D55" s="675" t="s">
        <v>5</v>
      </c>
      <c r="E55" s="682"/>
      <c r="F55" s="677"/>
      <c r="G55" s="676"/>
      <c r="H55" s="676"/>
      <c r="I55" s="105" t="s">
        <v>87</v>
      </c>
      <c r="J55" s="105" t="s">
        <v>88</v>
      </c>
      <c r="K55" s="105" t="s">
        <v>89</v>
      </c>
      <c r="L55" s="105" t="s">
        <v>90</v>
      </c>
      <c r="M55" s="676"/>
      <c r="N55" s="678"/>
    </row>
    <row r="56" spans="1:14" s="74" customFormat="1" ht="18" customHeight="1" x14ac:dyDescent="0.25">
      <c r="A56" s="109" t="s">
        <v>56</v>
      </c>
      <c r="B56" s="110"/>
      <c r="C56" s="111"/>
      <c r="D56" s="112">
        <v>6</v>
      </c>
      <c r="E56" s="112">
        <v>6</v>
      </c>
      <c r="F56" s="112">
        <v>6</v>
      </c>
      <c r="G56" s="112">
        <v>6</v>
      </c>
      <c r="H56" s="112">
        <v>6</v>
      </c>
      <c r="I56" s="112">
        <v>6</v>
      </c>
      <c r="J56" s="112">
        <v>6</v>
      </c>
      <c r="K56" s="112">
        <v>6</v>
      </c>
      <c r="L56" s="112">
        <v>6</v>
      </c>
      <c r="M56" s="112">
        <v>6</v>
      </c>
      <c r="N56" s="112">
        <v>4</v>
      </c>
    </row>
    <row r="57" spans="1:14" ht="14.25" customHeight="1" x14ac:dyDescent="0.25">
      <c r="A57" s="113" t="s">
        <v>362</v>
      </c>
      <c r="B57" s="113" t="s">
        <v>306</v>
      </c>
      <c r="C57" s="568" t="s">
        <v>210</v>
      </c>
      <c r="D57" s="115">
        <v>194</v>
      </c>
      <c r="E57" s="173">
        <v>20</v>
      </c>
      <c r="F57" s="560">
        <f>+D57/E57</f>
        <v>9.6999999999999993</v>
      </c>
      <c r="G57" s="120" t="s">
        <v>224</v>
      </c>
      <c r="H57" s="120" t="s">
        <v>227</v>
      </c>
      <c r="I57" s="120" t="s">
        <v>224</v>
      </c>
      <c r="J57" s="120" t="s">
        <v>224</v>
      </c>
      <c r="K57" s="120" t="s">
        <v>224</v>
      </c>
      <c r="L57" s="120" t="s">
        <v>224</v>
      </c>
      <c r="M57" s="120" t="s">
        <v>227</v>
      </c>
      <c r="N57" s="120" t="s">
        <v>227</v>
      </c>
    </row>
    <row r="58" spans="1:14" ht="14.25" customHeight="1" x14ac:dyDescent="0.25">
      <c r="A58" s="113" t="s">
        <v>178</v>
      </c>
      <c r="B58" s="113" t="s">
        <v>413</v>
      </c>
      <c r="C58" s="568" t="s">
        <v>210</v>
      </c>
      <c r="D58" s="115">
        <v>106</v>
      </c>
      <c r="E58" s="173">
        <v>2</v>
      </c>
      <c r="F58" s="560">
        <f>D58/E58</f>
        <v>53</v>
      </c>
      <c r="G58" s="120" t="s">
        <v>224</v>
      </c>
      <c r="H58" s="120" t="s">
        <v>224</v>
      </c>
      <c r="I58" s="120" t="s">
        <v>224</v>
      </c>
      <c r="J58" s="120" t="s">
        <v>224</v>
      </c>
      <c r="K58" s="120" t="s">
        <v>224</v>
      </c>
      <c r="L58" s="120" t="s">
        <v>224</v>
      </c>
      <c r="M58" s="120" t="s">
        <v>227</v>
      </c>
      <c r="N58" s="475" t="s">
        <v>233</v>
      </c>
    </row>
    <row r="59" spans="1:14" ht="14.25" customHeight="1" x14ac:dyDescent="0.25">
      <c r="A59" s="113" t="s">
        <v>417</v>
      </c>
      <c r="B59" s="113" t="s">
        <v>414</v>
      </c>
      <c r="C59" s="568" t="s">
        <v>210</v>
      </c>
      <c r="D59" s="115">
        <v>182</v>
      </c>
      <c r="E59" s="173">
        <v>17</v>
      </c>
      <c r="F59" s="560">
        <f>D59/E59</f>
        <v>10.705882352941176</v>
      </c>
      <c r="G59" s="120" t="s">
        <v>227</v>
      </c>
      <c r="H59" s="120" t="s">
        <v>224</v>
      </c>
      <c r="I59" s="120" t="s">
        <v>224</v>
      </c>
      <c r="J59" s="120" t="s">
        <v>227</v>
      </c>
      <c r="K59" s="120" t="s">
        <v>224</v>
      </c>
      <c r="L59" s="120" t="s">
        <v>224</v>
      </c>
      <c r="M59" s="120" t="s">
        <v>227</v>
      </c>
      <c r="N59" s="120" t="s">
        <v>480</v>
      </c>
    </row>
    <row r="60" spans="1:14" ht="14.25" customHeight="1" x14ac:dyDescent="0.25">
      <c r="A60" s="113" t="s">
        <v>157</v>
      </c>
      <c r="B60" s="113" t="s">
        <v>415</v>
      </c>
      <c r="C60" s="568" t="s">
        <v>210</v>
      </c>
      <c r="D60" s="115">
        <v>83</v>
      </c>
      <c r="E60" s="173">
        <v>12</v>
      </c>
      <c r="F60" s="560">
        <f>+D60/E60</f>
        <v>6.916666666666667</v>
      </c>
      <c r="G60" s="120" t="s">
        <v>224</v>
      </c>
      <c r="H60" s="120" t="s">
        <v>224</v>
      </c>
      <c r="I60" s="120" t="s">
        <v>224</v>
      </c>
      <c r="J60" s="120" t="s">
        <v>227</v>
      </c>
      <c r="K60" s="120" t="s">
        <v>224</v>
      </c>
      <c r="L60" s="120" t="s">
        <v>224</v>
      </c>
      <c r="M60" s="120" t="s">
        <v>227</v>
      </c>
      <c r="N60" s="475" t="s">
        <v>233</v>
      </c>
    </row>
    <row r="61" spans="1:14" ht="14.25" customHeight="1" x14ac:dyDescent="0.25">
      <c r="A61" s="113" t="s">
        <v>418</v>
      </c>
      <c r="B61" s="113" t="s">
        <v>416</v>
      </c>
      <c r="C61" s="568" t="s">
        <v>211</v>
      </c>
      <c r="D61" s="115">
        <v>212</v>
      </c>
      <c r="E61" s="173">
        <v>0</v>
      </c>
      <c r="F61" s="569">
        <v>0</v>
      </c>
      <c r="G61" s="120" t="s">
        <v>224</v>
      </c>
      <c r="H61" s="120" t="s">
        <v>224</v>
      </c>
      <c r="I61" s="120" t="s">
        <v>224</v>
      </c>
      <c r="J61" s="120" t="s">
        <v>224</v>
      </c>
      <c r="K61" s="120" t="s">
        <v>227</v>
      </c>
      <c r="L61" s="120" t="s">
        <v>224</v>
      </c>
      <c r="M61" s="120" t="s">
        <v>224</v>
      </c>
      <c r="N61" s="120" t="s">
        <v>480</v>
      </c>
    </row>
    <row r="62" spans="1:14" ht="14.25" customHeight="1" x14ac:dyDescent="0.25">
      <c r="A62" s="113" t="s">
        <v>179</v>
      </c>
      <c r="B62" s="113" t="s">
        <v>412</v>
      </c>
      <c r="C62" s="568" t="s">
        <v>211</v>
      </c>
      <c r="D62" s="115">
        <v>280</v>
      </c>
      <c r="E62" s="173">
        <v>4</v>
      </c>
      <c r="F62" s="569">
        <f>D62/E62</f>
        <v>70</v>
      </c>
      <c r="G62" s="120" t="s">
        <v>224</v>
      </c>
      <c r="H62" s="120" t="s">
        <v>224</v>
      </c>
      <c r="I62" s="120" t="s">
        <v>224</v>
      </c>
      <c r="J62" s="120" t="s">
        <v>227</v>
      </c>
      <c r="K62" s="120" t="s">
        <v>227</v>
      </c>
      <c r="L62" s="120" t="s">
        <v>227</v>
      </c>
      <c r="M62" s="120" t="s">
        <v>227</v>
      </c>
      <c r="N62" s="120" t="s">
        <v>227</v>
      </c>
    </row>
    <row r="63" spans="1:14" s="136" customFormat="1" ht="14.25" customHeight="1" x14ac:dyDescent="0.25">
      <c r="A63" s="128"/>
      <c r="B63" s="129"/>
      <c r="C63" s="90" t="s">
        <v>7</v>
      </c>
      <c r="D63" s="130">
        <f>SUM(D57:D62)</f>
        <v>1057</v>
      </c>
      <c r="E63" s="130">
        <f>SUM(E57:E62)</f>
        <v>55</v>
      </c>
      <c r="F63" s="619"/>
      <c r="G63" s="134">
        <v>5</v>
      </c>
      <c r="H63" s="134">
        <v>5</v>
      </c>
      <c r="I63" s="134">
        <v>6</v>
      </c>
      <c r="J63" s="134">
        <v>3</v>
      </c>
      <c r="K63" s="134">
        <v>4</v>
      </c>
      <c r="L63" s="134">
        <v>5</v>
      </c>
      <c r="M63" s="134">
        <v>1</v>
      </c>
      <c r="N63" s="134">
        <v>2</v>
      </c>
    </row>
    <row r="64" spans="1:14" s="142" customFormat="1" ht="14.25" customHeight="1" x14ac:dyDescent="0.25">
      <c r="A64" s="137"/>
      <c r="B64" s="138"/>
      <c r="C64" s="139" t="s">
        <v>8</v>
      </c>
      <c r="D64" s="130">
        <f>AVERAGE(D57:D62)</f>
        <v>176.16666666666666</v>
      </c>
      <c r="E64" s="133">
        <f>AVERAGE(E57:E62)</f>
        <v>9.1666666666666661</v>
      </c>
      <c r="F64" s="619">
        <f>AVERAGE(F57:F62)</f>
        <v>25.053758169934639</v>
      </c>
      <c r="G64" s="134"/>
      <c r="H64" s="134"/>
      <c r="I64" s="134"/>
      <c r="J64" s="134"/>
      <c r="K64" s="134"/>
      <c r="L64" s="134"/>
      <c r="M64" s="134"/>
      <c r="N64" s="134"/>
    </row>
    <row r="65" spans="1:14" s="142" customFormat="1" ht="14.25" customHeight="1" x14ac:dyDescent="0.25">
      <c r="A65" s="137"/>
      <c r="B65" s="138"/>
      <c r="C65" s="139" t="s">
        <v>9</v>
      </c>
      <c r="D65" s="130">
        <f>MEDIAN(D57:D62)</f>
        <v>188</v>
      </c>
      <c r="E65" s="133">
        <f>MEDIAN(E57:E62)</f>
        <v>8</v>
      </c>
      <c r="F65" s="133">
        <f>MEDIAN(F57:F62)</f>
        <v>10.202941176470588</v>
      </c>
      <c r="G65" s="134"/>
      <c r="H65" s="134"/>
      <c r="I65" s="134"/>
      <c r="J65" s="134"/>
      <c r="K65" s="134"/>
      <c r="L65" s="134"/>
      <c r="M65" s="134"/>
      <c r="N65" s="134"/>
    </row>
    <row r="66" spans="1:14" s="142" customFormat="1" ht="14.25" customHeight="1" x14ac:dyDescent="0.25">
      <c r="A66" s="144"/>
      <c r="B66" s="145"/>
      <c r="C66" s="139" t="s">
        <v>30</v>
      </c>
      <c r="D66" s="146"/>
      <c r="E66" s="130"/>
      <c r="F66" s="133"/>
      <c r="G66" s="148">
        <f t="shared" ref="G66:N66" si="10">+G63/G56</f>
        <v>0.83333333333333337</v>
      </c>
      <c r="H66" s="148">
        <f t="shared" si="10"/>
        <v>0.83333333333333337</v>
      </c>
      <c r="I66" s="148">
        <f t="shared" si="10"/>
        <v>1</v>
      </c>
      <c r="J66" s="148">
        <f t="shared" si="10"/>
        <v>0.5</v>
      </c>
      <c r="K66" s="148">
        <f t="shared" si="10"/>
        <v>0.66666666666666663</v>
      </c>
      <c r="L66" s="148">
        <f t="shared" si="10"/>
        <v>0.83333333333333337</v>
      </c>
      <c r="M66" s="148">
        <f t="shared" si="10"/>
        <v>0.16666666666666666</v>
      </c>
      <c r="N66" s="148">
        <f t="shared" si="10"/>
        <v>0.5</v>
      </c>
    </row>
    <row r="67" spans="1:14" x14ac:dyDescent="0.25">
      <c r="B67" s="150"/>
      <c r="C67" s="151"/>
      <c r="D67" s="152"/>
    </row>
    <row r="68" spans="1:14" x14ac:dyDescent="0.25">
      <c r="B68" s="150"/>
      <c r="C68" s="151"/>
      <c r="D68" s="152"/>
    </row>
    <row r="69" spans="1:14" s="161" customFormat="1" ht="18" customHeight="1" x14ac:dyDescent="0.25">
      <c r="A69" s="538" t="s">
        <v>669</v>
      </c>
      <c r="B69" s="539"/>
      <c r="C69" s="539"/>
      <c r="D69" s="540"/>
      <c r="E69" s="543"/>
      <c r="F69" s="543"/>
      <c r="G69" s="544"/>
      <c r="H69" s="541"/>
      <c r="I69" s="543"/>
      <c r="J69" s="543"/>
      <c r="K69" s="543"/>
      <c r="L69" s="543"/>
      <c r="M69" s="543"/>
      <c r="N69" s="670"/>
    </row>
    <row r="70" spans="1:14" s="74" customFormat="1" ht="18" customHeight="1" x14ac:dyDescent="0.25">
      <c r="A70" s="602"/>
      <c r="B70" s="603"/>
      <c r="C70" s="603"/>
      <c r="D70" s="604"/>
      <c r="E70" s="671" t="s">
        <v>72</v>
      </c>
      <c r="F70" s="672" t="s">
        <v>75</v>
      </c>
      <c r="G70" s="671" t="s">
        <v>91</v>
      </c>
      <c r="H70" s="673" t="s">
        <v>84</v>
      </c>
      <c r="I70" s="504" t="s">
        <v>85</v>
      </c>
      <c r="J70" s="96"/>
      <c r="K70" s="96"/>
      <c r="L70" s="97"/>
      <c r="M70" s="674" t="s">
        <v>81</v>
      </c>
      <c r="N70" s="674" t="s">
        <v>86</v>
      </c>
    </row>
    <row r="71" spans="1:14" s="74" customFormat="1" ht="36.6" customHeight="1" x14ac:dyDescent="0.25">
      <c r="A71" s="100" t="s">
        <v>11</v>
      </c>
      <c r="B71" s="100" t="s">
        <v>12</v>
      </c>
      <c r="C71" s="100" t="s">
        <v>2</v>
      </c>
      <c r="D71" s="675" t="s">
        <v>5</v>
      </c>
      <c r="E71" s="676"/>
      <c r="F71" s="677"/>
      <c r="G71" s="676"/>
      <c r="H71" s="676"/>
      <c r="I71" s="105" t="s">
        <v>87</v>
      </c>
      <c r="J71" s="105" t="s">
        <v>88</v>
      </c>
      <c r="K71" s="105" t="s">
        <v>89</v>
      </c>
      <c r="L71" s="105" t="s">
        <v>90</v>
      </c>
      <c r="M71" s="676"/>
      <c r="N71" s="678"/>
    </row>
    <row r="72" spans="1:14" s="74" customFormat="1" ht="20.45" customHeight="1" x14ac:dyDescent="0.25">
      <c r="A72" s="109" t="s">
        <v>56</v>
      </c>
      <c r="B72" s="110"/>
      <c r="C72" s="111"/>
      <c r="D72" s="112">
        <v>4</v>
      </c>
      <c r="E72" s="112">
        <v>4</v>
      </c>
      <c r="F72" s="112">
        <v>4</v>
      </c>
      <c r="G72" s="112">
        <v>4</v>
      </c>
      <c r="H72" s="112">
        <v>4</v>
      </c>
      <c r="I72" s="112">
        <v>4</v>
      </c>
      <c r="J72" s="112">
        <v>3</v>
      </c>
      <c r="K72" s="112">
        <v>3</v>
      </c>
      <c r="L72" s="112">
        <v>3</v>
      </c>
      <c r="M72" s="112">
        <v>3</v>
      </c>
      <c r="N72" s="112">
        <v>3</v>
      </c>
    </row>
    <row r="73" spans="1:14" ht="14.45" customHeight="1" x14ac:dyDescent="0.25">
      <c r="A73" s="113" t="s">
        <v>180</v>
      </c>
      <c r="B73" s="113" t="s">
        <v>441</v>
      </c>
      <c r="C73" s="597" t="s">
        <v>449</v>
      </c>
      <c r="D73" s="200">
        <v>236</v>
      </c>
      <c r="E73" s="115">
        <v>21</v>
      </c>
      <c r="F73" s="595">
        <f>+D73/E73</f>
        <v>11.238095238095237</v>
      </c>
      <c r="G73" s="683" t="s">
        <v>224</v>
      </c>
      <c r="H73" s="683" t="s">
        <v>224</v>
      </c>
      <c r="I73" s="683" t="s">
        <v>224</v>
      </c>
      <c r="J73" s="683" t="s">
        <v>224</v>
      </c>
      <c r="K73" s="683" t="s">
        <v>224</v>
      </c>
      <c r="L73" s="683" t="s">
        <v>224</v>
      </c>
      <c r="M73" s="683" t="s">
        <v>224</v>
      </c>
      <c r="N73" s="683" t="s">
        <v>224</v>
      </c>
    </row>
    <row r="74" spans="1:14" ht="14.45" customHeight="1" x14ac:dyDescent="0.25">
      <c r="A74" s="113" t="s">
        <v>417</v>
      </c>
      <c r="B74" s="113" t="s">
        <v>205</v>
      </c>
      <c r="C74" s="597" t="s">
        <v>212</v>
      </c>
      <c r="D74" s="200">
        <v>168</v>
      </c>
      <c r="E74" s="115">
        <v>11</v>
      </c>
      <c r="F74" s="595">
        <f>+D74/E74</f>
        <v>15.272727272727273</v>
      </c>
      <c r="G74" s="683"/>
      <c r="H74" s="683" t="s">
        <v>227</v>
      </c>
      <c r="I74" s="683" t="s">
        <v>224</v>
      </c>
      <c r="J74" s="683" t="s">
        <v>224</v>
      </c>
      <c r="K74" s="683" t="s">
        <v>224</v>
      </c>
      <c r="L74" s="683" t="s">
        <v>227</v>
      </c>
      <c r="M74" s="683" t="s">
        <v>227</v>
      </c>
      <c r="N74" s="683" t="s">
        <v>227</v>
      </c>
    </row>
    <row r="75" spans="1:14" ht="14.45" customHeight="1" x14ac:dyDescent="0.25">
      <c r="A75" s="113" t="s">
        <v>443</v>
      </c>
      <c r="B75" s="113" t="s">
        <v>442</v>
      </c>
      <c r="C75" s="597" t="s">
        <v>212</v>
      </c>
      <c r="D75" s="200">
        <v>89</v>
      </c>
      <c r="E75" s="115">
        <v>2</v>
      </c>
      <c r="F75" s="600">
        <f>+D75/E75</f>
        <v>44.5</v>
      </c>
      <c r="G75" s="684" t="s">
        <v>224</v>
      </c>
      <c r="H75" s="684" t="s">
        <v>227</v>
      </c>
      <c r="I75" s="684" t="s">
        <v>224</v>
      </c>
      <c r="J75" s="475" t="s">
        <v>233</v>
      </c>
      <c r="K75" s="475" t="s">
        <v>233</v>
      </c>
      <c r="L75" s="475" t="s">
        <v>233</v>
      </c>
      <c r="M75" s="475" t="s">
        <v>233</v>
      </c>
      <c r="N75" s="475" t="s">
        <v>677</v>
      </c>
    </row>
    <row r="76" spans="1:14" ht="14.45" customHeight="1" x14ac:dyDescent="0.25">
      <c r="A76" s="113" t="s">
        <v>181</v>
      </c>
      <c r="B76" s="113" t="s">
        <v>434</v>
      </c>
      <c r="C76" s="597" t="s">
        <v>212</v>
      </c>
      <c r="D76" s="200">
        <v>36</v>
      </c>
      <c r="E76" s="115">
        <v>8</v>
      </c>
      <c r="F76" s="600">
        <f>D76/E76</f>
        <v>4.5</v>
      </c>
      <c r="G76" s="684" t="s">
        <v>224</v>
      </c>
      <c r="H76" s="684" t="s">
        <v>224</v>
      </c>
      <c r="I76" s="684" t="s">
        <v>224</v>
      </c>
      <c r="J76" s="684" t="s">
        <v>227</v>
      </c>
      <c r="K76" s="684" t="s">
        <v>227</v>
      </c>
      <c r="L76" s="684" t="s">
        <v>227</v>
      </c>
      <c r="M76" s="684"/>
      <c r="N76" s="684" t="s">
        <v>227</v>
      </c>
    </row>
    <row r="77" spans="1:14" s="136" customFormat="1" ht="14.45" customHeight="1" x14ac:dyDescent="0.25">
      <c r="A77" s="128"/>
      <c r="B77" s="129"/>
      <c r="C77" s="90" t="s">
        <v>7</v>
      </c>
      <c r="D77" s="130">
        <f>SUM(D73:D76)</f>
        <v>529</v>
      </c>
      <c r="E77" s="130">
        <f>SUM(E73:E76)</f>
        <v>42</v>
      </c>
      <c r="F77" s="619"/>
      <c r="G77" s="134">
        <v>3</v>
      </c>
      <c r="H77" s="134">
        <v>2</v>
      </c>
      <c r="I77" s="134">
        <v>4</v>
      </c>
      <c r="J77" s="134">
        <v>2</v>
      </c>
      <c r="K77" s="134">
        <v>2</v>
      </c>
      <c r="L77" s="134">
        <v>1</v>
      </c>
      <c r="M77" s="134">
        <v>1</v>
      </c>
      <c r="N77" s="134">
        <v>1</v>
      </c>
    </row>
    <row r="78" spans="1:14" s="142" customFormat="1" ht="14.45" customHeight="1" x14ac:dyDescent="0.25">
      <c r="A78" s="137"/>
      <c r="B78" s="138"/>
      <c r="C78" s="139" t="s">
        <v>8</v>
      </c>
      <c r="D78" s="130">
        <f>AVERAGE(D73:D76)</f>
        <v>132.25</v>
      </c>
      <c r="E78" s="133">
        <f>AVERAGE(E73:E76)</f>
        <v>10.5</v>
      </c>
      <c r="F78" s="619">
        <f>AVERAGE(F73:F76)</f>
        <v>18.877705627705627</v>
      </c>
      <c r="G78" s="134"/>
      <c r="H78" s="134"/>
      <c r="I78" s="134"/>
      <c r="J78" s="134"/>
      <c r="K78" s="134"/>
      <c r="L78" s="134"/>
      <c r="M78" s="134"/>
      <c r="N78" s="134"/>
    </row>
    <row r="79" spans="1:14" s="142" customFormat="1" ht="14.45" customHeight="1" x14ac:dyDescent="0.25">
      <c r="A79" s="137"/>
      <c r="B79" s="138"/>
      <c r="C79" s="139" t="s">
        <v>9</v>
      </c>
      <c r="D79" s="130">
        <v>142</v>
      </c>
      <c r="E79" s="133">
        <f>MEDIAN(E73:E76)</f>
        <v>9.5</v>
      </c>
      <c r="F79" s="133">
        <f>MEDIAN(F73:F76)</f>
        <v>13.255411255411255</v>
      </c>
      <c r="G79" s="134"/>
      <c r="H79" s="134"/>
      <c r="I79" s="134"/>
      <c r="J79" s="134"/>
      <c r="K79" s="134"/>
      <c r="L79" s="134"/>
      <c r="M79" s="134"/>
      <c r="N79" s="134"/>
    </row>
    <row r="80" spans="1:14" s="142" customFormat="1" ht="14.45" customHeight="1" x14ac:dyDescent="0.25">
      <c r="A80" s="144"/>
      <c r="B80" s="145"/>
      <c r="C80" s="139" t="s">
        <v>30</v>
      </c>
      <c r="D80" s="146"/>
      <c r="E80" s="130"/>
      <c r="F80" s="133"/>
      <c r="G80" s="148">
        <f>+G77/G72</f>
        <v>0.75</v>
      </c>
      <c r="H80" s="148">
        <f>+H77/H72</f>
        <v>0.5</v>
      </c>
      <c r="I80" s="148">
        <v>1</v>
      </c>
      <c r="J80" s="148">
        <f>+J77/J72</f>
        <v>0.66666666666666663</v>
      </c>
      <c r="K80" s="148">
        <f>+K77/K72</f>
        <v>0.66666666666666663</v>
      </c>
      <c r="L80" s="148">
        <f>+L77/L72</f>
        <v>0.33333333333333331</v>
      </c>
      <c r="M80" s="148">
        <f>+M77/M72</f>
        <v>0.33333333333333331</v>
      </c>
      <c r="N80" s="148">
        <f>+N77/N72</f>
        <v>0.33333333333333331</v>
      </c>
    </row>
    <row r="81" spans="1:14" x14ac:dyDescent="0.25">
      <c r="B81" s="150"/>
      <c r="C81" s="151"/>
      <c r="D81" s="152"/>
    </row>
    <row r="82" spans="1:14" x14ac:dyDescent="0.25">
      <c r="B82" s="150"/>
      <c r="C82" s="151"/>
      <c r="D82" s="152"/>
    </row>
    <row r="83" spans="1:14" s="161" customFormat="1" ht="19.899999999999999" customHeight="1" x14ac:dyDescent="0.25">
      <c r="A83" s="538" t="s">
        <v>673</v>
      </c>
      <c r="B83" s="539"/>
      <c r="C83" s="539"/>
      <c r="D83" s="540"/>
      <c r="E83" s="543"/>
      <c r="F83" s="543"/>
      <c r="G83" s="544"/>
      <c r="H83" s="541"/>
      <c r="I83" s="543"/>
      <c r="J83" s="543"/>
      <c r="K83" s="543"/>
      <c r="L83" s="543"/>
      <c r="M83" s="543"/>
      <c r="N83" s="670"/>
    </row>
    <row r="84" spans="1:14" s="74" customFormat="1" ht="20.45" customHeight="1" x14ac:dyDescent="0.25">
      <c r="A84" s="602"/>
      <c r="B84" s="603"/>
      <c r="C84" s="603"/>
      <c r="D84" s="604"/>
      <c r="E84" s="671" t="s">
        <v>72</v>
      </c>
      <c r="F84" s="672" t="s">
        <v>75</v>
      </c>
      <c r="G84" s="671" t="s">
        <v>91</v>
      </c>
      <c r="H84" s="673" t="s">
        <v>84</v>
      </c>
      <c r="I84" s="504" t="s">
        <v>85</v>
      </c>
      <c r="J84" s="96"/>
      <c r="K84" s="96"/>
      <c r="L84" s="97"/>
      <c r="M84" s="674" t="s">
        <v>81</v>
      </c>
      <c r="N84" s="674" t="s">
        <v>86</v>
      </c>
    </row>
    <row r="85" spans="1:14" s="74" customFormat="1" ht="31.9" customHeight="1" x14ac:dyDescent="0.25">
      <c r="A85" s="100" t="s">
        <v>11</v>
      </c>
      <c r="B85" s="100" t="s">
        <v>12</v>
      </c>
      <c r="C85" s="100" t="s">
        <v>2</v>
      </c>
      <c r="D85" s="675" t="s">
        <v>5</v>
      </c>
      <c r="E85" s="676"/>
      <c r="F85" s="677"/>
      <c r="G85" s="676"/>
      <c r="H85" s="676"/>
      <c r="I85" s="105" t="s">
        <v>87</v>
      </c>
      <c r="J85" s="105" t="s">
        <v>88</v>
      </c>
      <c r="K85" s="105" t="s">
        <v>89</v>
      </c>
      <c r="L85" s="105" t="s">
        <v>90</v>
      </c>
      <c r="M85" s="676"/>
      <c r="N85" s="678"/>
    </row>
    <row r="86" spans="1:14" s="74" customFormat="1" ht="19.899999999999999" customHeight="1" x14ac:dyDescent="0.25">
      <c r="A86" s="109" t="s">
        <v>56</v>
      </c>
      <c r="B86" s="110"/>
      <c r="C86" s="111"/>
      <c r="D86" s="112">
        <v>14</v>
      </c>
      <c r="E86" s="112">
        <v>12</v>
      </c>
      <c r="F86" s="112">
        <v>12</v>
      </c>
      <c r="G86" s="112">
        <v>13</v>
      </c>
      <c r="H86" s="112">
        <v>13</v>
      </c>
      <c r="I86" s="112">
        <v>13</v>
      </c>
      <c r="J86" s="112">
        <v>13</v>
      </c>
      <c r="K86" s="112">
        <v>12</v>
      </c>
      <c r="L86" s="112">
        <v>13</v>
      </c>
      <c r="M86" s="112">
        <v>13</v>
      </c>
      <c r="N86" s="112">
        <v>11</v>
      </c>
    </row>
    <row r="87" spans="1:14" x14ac:dyDescent="0.25">
      <c r="A87" s="113" t="s">
        <v>361</v>
      </c>
      <c r="B87" s="113" t="s">
        <v>503</v>
      </c>
      <c r="C87" s="206" t="s">
        <v>213</v>
      </c>
      <c r="D87" s="200">
        <v>719</v>
      </c>
      <c r="E87" s="684">
        <v>9</v>
      </c>
      <c r="F87" s="685">
        <f>+D87/E87</f>
        <v>79.888888888888886</v>
      </c>
      <c r="G87" s="120" t="s">
        <v>480</v>
      </c>
      <c r="H87" s="120" t="s">
        <v>227</v>
      </c>
      <c r="I87" s="120" t="s">
        <v>224</v>
      </c>
      <c r="J87" s="120" t="s">
        <v>224</v>
      </c>
      <c r="K87" s="120" t="s">
        <v>227</v>
      </c>
      <c r="L87" s="120" t="s">
        <v>224</v>
      </c>
      <c r="M87" s="120" t="s">
        <v>227</v>
      </c>
      <c r="N87" s="475" t="s">
        <v>233</v>
      </c>
    </row>
    <row r="88" spans="1:14" ht="14.45" customHeight="1" x14ac:dyDescent="0.25">
      <c r="A88" s="113" t="s">
        <v>163</v>
      </c>
      <c r="B88" s="113" t="s">
        <v>164</v>
      </c>
      <c r="C88" s="206" t="s">
        <v>213</v>
      </c>
      <c r="D88" s="200">
        <v>173</v>
      </c>
      <c r="E88" s="684">
        <v>11</v>
      </c>
      <c r="F88" s="117">
        <f>D88/E88</f>
        <v>15.727272727272727</v>
      </c>
      <c r="G88" s="120" t="s">
        <v>480</v>
      </c>
      <c r="H88" s="120" t="s">
        <v>480</v>
      </c>
      <c r="I88" s="120" t="s">
        <v>224</v>
      </c>
      <c r="J88" s="120" t="s">
        <v>224</v>
      </c>
      <c r="K88" s="120" t="s">
        <v>224</v>
      </c>
      <c r="L88" s="120" t="s">
        <v>224</v>
      </c>
      <c r="M88" s="120" t="s">
        <v>227</v>
      </c>
      <c r="N88" s="120" t="s">
        <v>227</v>
      </c>
    </row>
    <row r="89" spans="1:14" ht="14.45" customHeight="1" x14ac:dyDescent="0.25">
      <c r="A89" s="113" t="s">
        <v>148</v>
      </c>
      <c r="B89" s="113" t="s">
        <v>504</v>
      </c>
      <c r="C89" s="206" t="s">
        <v>214</v>
      </c>
      <c r="D89" s="200">
        <v>890</v>
      </c>
      <c r="E89" s="475" t="s">
        <v>233</v>
      </c>
      <c r="F89" s="124" t="s">
        <v>233</v>
      </c>
      <c r="G89" s="120" t="s">
        <v>480</v>
      </c>
      <c r="H89" s="120" t="s">
        <v>227</v>
      </c>
      <c r="I89" s="120" t="s">
        <v>224</v>
      </c>
      <c r="J89" s="120" t="s">
        <v>224</v>
      </c>
      <c r="K89" s="120" t="s">
        <v>224</v>
      </c>
      <c r="L89" s="120" t="s">
        <v>227</v>
      </c>
      <c r="M89" s="120" t="s">
        <v>227</v>
      </c>
      <c r="N89" s="120" t="s">
        <v>224</v>
      </c>
    </row>
    <row r="90" spans="1:14" ht="14.45" customHeight="1" x14ac:dyDescent="0.25">
      <c r="A90" s="113" t="s">
        <v>148</v>
      </c>
      <c r="B90" s="113" t="s">
        <v>505</v>
      </c>
      <c r="C90" s="206" t="s">
        <v>214</v>
      </c>
      <c r="D90" s="200">
        <v>717</v>
      </c>
      <c r="E90" s="684">
        <v>7</v>
      </c>
      <c r="F90" s="117">
        <f>D90/E90</f>
        <v>102.42857142857143</v>
      </c>
      <c r="G90" s="120" t="s">
        <v>480</v>
      </c>
      <c r="H90" s="120" t="s">
        <v>480</v>
      </c>
      <c r="I90" s="120" t="s">
        <v>224</v>
      </c>
      <c r="J90" s="120" t="s">
        <v>224</v>
      </c>
      <c r="K90" s="475" t="s">
        <v>233</v>
      </c>
      <c r="L90" s="120" t="s">
        <v>224</v>
      </c>
      <c r="M90" s="120" t="s">
        <v>227</v>
      </c>
      <c r="N90" s="120" t="s">
        <v>227</v>
      </c>
    </row>
    <row r="91" spans="1:14" ht="14.45" customHeight="1" x14ac:dyDescent="0.25">
      <c r="A91" s="113" t="s">
        <v>178</v>
      </c>
      <c r="B91" s="113" t="s">
        <v>243</v>
      </c>
      <c r="C91" s="206" t="s">
        <v>214</v>
      </c>
      <c r="D91" s="200">
        <v>470</v>
      </c>
      <c r="E91" s="684">
        <v>0</v>
      </c>
      <c r="F91" s="117">
        <v>0</v>
      </c>
      <c r="G91" s="120"/>
      <c r="H91" s="120" t="s">
        <v>480</v>
      </c>
      <c r="I91" s="120" t="s">
        <v>224</v>
      </c>
      <c r="J91" s="120" t="s">
        <v>224</v>
      </c>
      <c r="K91" s="120" t="s">
        <v>227</v>
      </c>
      <c r="L91" s="120" t="s">
        <v>224</v>
      </c>
      <c r="M91" s="120" t="s">
        <v>227</v>
      </c>
      <c r="N91" s="120" t="s">
        <v>224</v>
      </c>
    </row>
    <row r="92" spans="1:14" ht="14.45" customHeight="1" x14ac:dyDescent="0.25">
      <c r="A92" s="113" t="s">
        <v>364</v>
      </c>
      <c r="B92" s="113" t="s">
        <v>450</v>
      </c>
      <c r="C92" s="206" t="s">
        <v>213</v>
      </c>
      <c r="D92" s="200">
        <v>447</v>
      </c>
      <c r="E92" s="684">
        <v>4</v>
      </c>
      <c r="F92" s="117">
        <f>D92/E92</f>
        <v>111.75</v>
      </c>
      <c r="G92" s="120" t="s">
        <v>480</v>
      </c>
      <c r="H92" s="120" t="s">
        <v>480</v>
      </c>
      <c r="I92" s="120" t="s">
        <v>224</v>
      </c>
      <c r="J92" s="120" t="s">
        <v>227</v>
      </c>
      <c r="K92" s="120" t="s">
        <v>227</v>
      </c>
      <c r="L92" s="120" t="s">
        <v>227</v>
      </c>
      <c r="M92" s="120" t="s">
        <v>224</v>
      </c>
      <c r="N92" s="120" t="s">
        <v>224</v>
      </c>
    </row>
    <row r="93" spans="1:14" ht="14.45" customHeight="1" x14ac:dyDescent="0.25">
      <c r="A93" s="113" t="s">
        <v>364</v>
      </c>
      <c r="B93" s="113" t="s">
        <v>506</v>
      </c>
      <c r="C93" s="206" t="s">
        <v>213</v>
      </c>
      <c r="D93" s="200">
        <v>792</v>
      </c>
      <c r="E93" s="684">
        <v>5</v>
      </c>
      <c r="F93" s="117">
        <f>D93/E93</f>
        <v>158.4</v>
      </c>
      <c r="G93" s="120" t="s">
        <v>480</v>
      </c>
      <c r="H93" s="120" t="s">
        <v>227</v>
      </c>
      <c r="I93" s="120" t="s">
        <v>224</v>
      </c>
      <c r="J93" s="120" t="s">
        <v>227</v>
      </c>
      <c r="K93" s="120" t="s">
        <v>227</v>
      </c>
      <c r="L93" s="120" t="s">
        <v>224</v>
      </c>
      <c r="M93" s="120" t="s">
        <v>227</v>
      </c>
      <c r="N93" s="120" t="s">
        <v>224</v>
      </c>
    </row>
    <row r="94" spans="1:14" ht="14.45" customHeight="1" x14ac:dyDescent="0.25">
      <c r="A94" s="113" t="s">
        <v>364</v>
      </c>
      <c r="B94" s="113" t="s">
        <v>507</v>
      </c>
      <c r="C94" s="206" t="s">
        <v>213</v>
      </c>
      <c r="D94" s="200">
        <v>767</v>
      </c>
      <c r="E94" s="684">
        <v>3</v>
      </c>
      <c r="F94" s="117">
        <f>D94/E94</f>
        <v>255.66666666666666</v>
      </c>
      <c r="G94" s="120" t="s">
        <v>480</v>
      </c>
      <c r="H94" s="120" t="s">
        <v>480</v>
      </c>
      <c r="I94" s="120" t="s">
        <v>224</v>
      </c>
      <c r="J94" s="120" t="s">
        <v>224</v>
      </c>
      <c r="K94" s="120" t="s">
        <v>224</v>
      </c>
      <c r="L94" s="120" t="s">
        <v>224</v>
      </c>
      <c r="M94" s="120" t="s">
        <v>224</v>
      </c>
      <c r="N94" s="120" t="s">
        <v>224</v>
      </c>
    </row>
    <row r="95" spans="1:14" ht="14.45" customHeight="1" x14ac:dyDescent="0.25">
      <c r="A95" s="113" t="s">
        <v>149</v>
      </c>
      <c r="B95" s="113" t="s">
        <v>312</v>
      </c>
      <c r="C95" s="206" t="s">
        <v>213</v>
      </c>
      <c r="D95" s="200">
        <v>466</v>
      </c>
      <c r="E95" s="684">
        <v>2</v>
      </c>
      <c r="F95" s="117">
        <f t="shared" ref="F95:F100" si="11">+D95/E95</f>
        <v>233</v>
      </c>
      <c r="G95" s="120" t="s">
        <v>480</v>
      </c>
      <c r="H95" s="120" t="s">
        <v>227</v>
      </c>
      <c r="I95" s="120" t="s">
        <v>224</v>
      </c>
      <c r="J95" s="120" t="s">
        <v>224</v>
      </c>
      <c r="K95" s="120" t="s">
        <v>227</v>
      </c>
      <c r="L95" s="120" t="s">
        <v>224</v>
      </c>
      <c r="M95" s="120" t="s">
        <v>224</v>
      </c>
      <c r="N95" s="120" t="s">
        <v>224</v>
      </c>
    </row>
    <row r="96" spans="1:14" ht="14.45" customHeight="1" x14ac:dyDescent="0.25">
      <c r="A96" s="113" t="s">
        <v>183</v>
      </c>
      <c r="B96" s="113" t="s">
        <v>244</v>
      </c>
      <c r="C96" s="206" t="s">
        <v>213</v>
      </c>
      <c r="D96" s="200">
        <v>869</v>
      </c>
      <c r="E96" s="475" t="s">
        <v>233</v>
      </c>
      <c r="F96" s="124" t="s">
        <v>233</v>
      </c>
      <c r="G96" s="475" t="s">
        <v>233</v>
      </c>
      <c r="H96" s="475" t="s">
        <v>233</v>
      </c>
      <c r="I96" s="475" t="s">
        <v>233</v>
      </c>
      <c r="J96" s="475" t="s">
        <v>233</v>
      </c>
      <c r="K96" s="475" t="s">
        <v>233</v>
      </c>
      <c r="L96" s="475" t="s">
        <v>233</v>
      </c>
      <c r="M96" s="475" t="s">
        <v>233</v>
      </c>
      <c r="N96" s="475" t="s">
        <v>233</v>
      </c>
    </row>
    <row r="97" spans="1:14" ht="14.45" customHeight="1" x14ac:dyDescent="0.25">
      <c r="A97" s="113" t="s">
        <v>143</v>
      </c>
      <c r="B97" s="113" t="s">
        <v>508</v>
      </c>
      <c r="C97" s="206" t="s">
        <v>213</v>
      </c>
      <c r="D97" s="200">
        <v>105</v>
      </c>
      <c r="E97" s="684">
        <v>0</v>
      </c>
      <c r="F97" s="117">
        <v>0</v>
      </c>
      <c r="G97" s="120" t="s">
        <v>480</v>
      </c>
      <c r="H97" s="120" t="s">
        <v>227</v>
      </c>
      <c r="I97" s="120" t="s">
        <v>224</v>
      </c>
      <c r="J97" s="120" t="s">
        <v>224</v>
      </c>
      <c r="K97" s="120" t="s">
        <v>227</v>
      </c>
      <c r="L97" s="120" t="s">
        <v>227</v>
      </c>
      <c r="M97" s="120" t="s">
        <v>224</v>
      </c>
      <c r="N97" s="120" t="s">
        <v>224</v>
      </c>
    </row>
    <row r="98" spans="1:14" ht="14.45" customHeight="1" x14ac:dyDescent="0.25">
      <c r="A98" s="113" t="s">
        <v>257</v>
      </c>
      <c r="B98" s="113" t="s">
        <v>509</v>
      </c>
      <c r="C98" s="206" t="s">
        <v>214</v>
      </c>
      <c r="D98" s="200">
        <v>799</v>
      </c>
      <c r="E98" s="684">
        <v>0</v>
      </c>
      <c r="F98" s="117">
        <v>0</v>
      </c>
      <c r="G98" s="120" t="s">
        <v>480</v>
      </c>
      <c r="H98" s="120" t="s">
        <v>227</v>
      </c>
      <c r="I98" s="120" t="s">
        <v>224</v>
      </c>
      <c r="J98" s="120" t="s">
        <v>224</v>
      </c>
      <c r="K98" s="120" t="s">
        <v>227</v>
      </c>
      <c r="L98" s="120" t="s">
        <v>224</v>
      </c>
      <c r="M98" s="120" t="s">
        <v>227</v>
      </c>
      <c r="N98" s="120" t="s">
        <v>227</v>
      </c>
    </row>
    <row r="99" spans="1:14" ht="14.45" customHeight="1" x14ac:dyDescent="0.25">
      <c r="A99" s="113" t="s">
        <v>365</v>
      </c>
      <c r="B99" s="113" t="s">
        <v>313</v>
      </c>
      <c r="C99" s="206" t="s">
        <v>213</v>
      </c>
      <c r="D99" s="200">
        <v>698</v>
      </c>
      <c r="E99" s="684">
        <v>0</v>
      </c>
      <c r="F99" s="117">
        <v>0</v>
      </c>
      <c r="G99" s="120" t="s">
        <v>480</v>
      </c>
      <c r="H99" s="120" t="s">
        <v>480</v>
      </c>
      <c r="I99" s="120" t="s">
        <v>224</v>
      </c>
      <c r="J99" s="120" t="s">
        <v>224</v>
      </c>
      <c r="K99" s="120" t="s">
        <v>227</v>
      </c>
      <c r="L99" s="120" t="s">
        <v>224</v>
      </c>
      <c r="M99" s="120" t="s">
        <v>224</v>
      </c>
      <c r="N99" s="120" t="s">
        <v>224</v>
      </c>
    </row>
    <row r="100" spans="1:14" ht="14.45" customHeight="1" x14ac:dyDescent="0.25">
      <c r="A100" s="113" t="s">
        <v>174</v>
      </c>
      <c r="B100" s="113" t="s">
        <v>177</v>
      </c>
      <c r="C100" s="206" t="s">
        <v>213</v>
      </c>
      <c r="D100" s="200">
        <v>245</v>
      </c>
      <c r="E100" s="684">
        <v>4</v>
      </c>
      <c r="F100" s="117">
        <f t="shared" si="11"/>
        <v>61.25</v>
      </c>
      <c r="G100" s="120" t="s">
        <v>480</v>
      </c>
      <c r="H100" s="120" t="s">
        <v>227</v>
      </c>
      <c r="I100" s="120" t="s">
        <v>224</v>
      </c>
      <c r="J100" s="120" t="s">
        <v>227</v>
      </c>
      <c r="K100" s="120" t="s">
        <v>227</v>
      </c>
      <c r="L100" s="120" t="s">
        <v>227</v>
      </c>
      <c r="M100" s="120" t="s">
        <v>227</v>
      </c>
      <c r="N100" s="475" t="s">
        <v>233</v>
      </c>
    </row>
    <row r="101" spans="1:14" s="136" customFormat="1" ht="14.45" customHeight="1" x14ac:dyDescent="0.25">
      <c r="A101" s="128"/>
      <c r="B101" s="129"/>
      <c r="C101" s="90" t="s">
        <v>7</v>
      </c>
      <c r="D101" s="130">
        <f>SUM(D87:D100)</f>
        <v>8157</v>
      </c>
      <c r="E101" s="130">
        <f>SUM(E87:E100)</f>
        <v>45</v>
      </c>
      <c r="F101" s="619"/>
      <c r="G101" s="134">
        <v>12</v>
      </c>
      <c r="H101" s="134">
        <v>6</v>
      </c>
      <c r="I101" s="134">
        <v>13</v>
      </c>
      <c r="J101" s="134">
        <v>10</v>
      </c>
      <c r="K101" s="134">
        <v>3</v>
      </c>
      <c r="L101" s="134">
        <v>9</v>
      </c>
      <c r="M101" s="134">
        <v>5</v>
      </c>
      <c r="N101" s="134">
        <v>8</v>
      </c>
    </row>
    <row r="102" spans="1:14" s="142" customFormat="1" ht="14.45" customHeight="1" x14ac:dyDescent="0.25">
      <c r="A102" s="137"/>
      <c r="B102" s="138"/>
      <c r="C102" s="139" t="s">
        <v>8</v>
      </c>
      <c r="D102" s="130">
        <f>AVERAGE(D87:D100)</f>
        <v>582.64285714285711</v>
      </c>
      <c r="E102" s="133">
        <f>AVERAGE(E87:E100)</f>
        <v>3.75</v>
      </c>
      <c r="F102" s="619">
        <f>AVERAGE(F87:F100)</f>
        <v>84.842616642616647</v>
      </c>
      <c r="G102" s="134"/>
      <c r="H102" s="134"/>
      <c r="I102" s="134"/>
      <c r="J102" s="134"/>
      <c r="K102" s="134"/>
      <c r="L102" s="134"/>
      <c r="M102" s="134"/>
      <c r="N102" s="134"/>
    </row>
    <row r="103" spans="1:14" s="142" customFormat="1" ht="14.45" customHeight="1" x14ac:dyDescent="0.25">
      <c r="A103" s="137"/>
      <c r="B103" s="138"/>
      <c r="C103" s="139" t="s">
        <v>9</v>
      </c>
      <c r="D103" s="130">
        <v>399</v>
      </c>
      <c r="E103" s="133">
        <f>MEDIAN(E87:E100)</f>
        <v>3.5</v>
      </c>
      <c r="F103" s="133">
        <f>MEDIAN(F87:F100)</f>
        <v>70.569444444444443</v>
      </c>
      <c r="G103" s="134"/>
      <c r="H103" s="134"/>
      <c r="I103" s="134"/>
      <c r="J103" s="134"/>
      <c r="K103" s="134"/>
      <c r="L103" s="134"/>
      <c r="M103" s="134"/>
      <c r="N103" s="134"/>
    </row>
    <row r="104" spans="1:14" s="142" customFormat="1" ht="14.45" customHeight="1" x14ac:dyDescent="0.25">
      <c r="A104" s="144"/>
      <c r="B104" s="145"/>
      <c r="C104" s="139" t="s">
        <v>30</v>
      </c>
      <c r="D104" s="146"/>
      <c r="E104" s="130"/>
      <c r="F104" s="133"/>
      <c r="G104" s="148">
        <f t="shared" ref="G104:N104" si="12">+G101/G86</f>
        <v>0.92307692307692313</v>
      </c>
      <c r="H104" s="148">
        <f t="shared" si="12"/>
        <v>0.46153846153846156</v>
      </c>
      <c r="I104" s="148">
        <f t="shared" si="12"/>
        <v>1</v>
      </c>
      <c r="J104" s="148">
        <f t="shared" si="12"/>
        <v>0.76923076923076927</v>
      </c>
      <c r="K104" s="148">
        <f t="shared" si="12"/>
        <v>0.25</v>
      </c>
      <c r="L104" s="148">
        <f t="shared" si="12"/>
        <v>0.69230769230769229</v>
      </c>
      <c r="M104" s="148">
        <f t="shared" si="12"/>
        <v>0.38461538461538464</v>
      </c>
      <c r="N104" s="148">
        <f t="shared" si="12"/>
        <v>0.72727272727272729</v>
      </c>
    </row>
    <row r="105" spans="1:14" x14ac:dyDescent="0.25">
      <c r="B105" s="150"/>
      <c r="C105" s="151"/>
      <c r="D105" s="152"/>
    </row>
    <row r="106" spans="1:14" x14ac:dyDescent="0.25">
      <c r="B106" s="150"/>
      <c r="C106" s="151"/>
      <c r="D106" s="152"/>
    </row>
    <row r="107" spans="1:14" s="161" customFormat="1" ht="16.149999999999999" customHeight="1" x14ac:dyDescent="0.25">
      <c r="A107" s="538" t="s">
        <v>671</v>
      </c>
      <c r="B107" s="539"/>
      <c r="C107" s="539"/>
      <c r="D107" s="540"/>
      <c r="E107" s="543"/>
      <c r="F107" s="543"/>
      <c r="G107" s="544"/>
      <c r="H107" s="541"/>
      <c r="I107" s="543"/>
      <c r="J107" s="543"/>
      <c r="K107" s="543"/>
      <c r="L107" s="543"/>
      <c r="M107" s="543"/>
      <c r="N107" s="670"/>
    </row>
    <row r="108" spans="1:14" s="74" customFormat="1" ht="23.45" customHeight="1" x14ac:dyDescent="0.25">
      <c r="A108" s="602"/>
      <c r="B108" s="603"/>
      <c r="C108" s="603"/>
      <c r="D108" s="604"/>
      <c r="E108" s="671" t="s">
        <v>72</v>
      </c>
      <c r="F108" s="672" t="s">
        <v>75</v>
      </c>
      <c r="G108" s="671" t="s">
        <v>91</v>
      </c>
      <c r="H108" s="673" t="s">
        <v>84</v>
      </c>
      <c r="I108" s="504" t="s">
        <v>85</v>
      </c>
      <c r="J108" s="96"/>
      <c r="K108" s="96"/>
      <c r="L108" s="97"/>
      <c r="M108" s="674" t="s">
        <v>81</v>
      </c>
      <c r="N108" s="674" t="s">
        <v>86</v>
      </c>
    </row>
    <row r="109" spans="1:14" s="74" customFormat="1" ht="33" customHeight="1" x14ac:dyDescent="0.25">
      <c r="A109" s="100" t="s">
        <v>11</v>
      </c>
      <c r="B109" s="100" t="s">
        <v>12</v>
      </c>
      <c r="C109" s="100" t="s">
        <v>2</v>
      </c>
      <c r="D109" s="675" t="s">
        <v>5</v>
      </c>
      <c r="E109" s="676"/>
      <c r="F109" s="677"/>
      <c r="G109" s="676"/>
      <c r="H109" s="676"/>
      <c r="I109" s="105" t="s">
        <v>87</v>
      </c>
      <c r="J109" s="105" t="s">
        <v>88</v>
      </c>
      <c r="K109" s="105" t="s">
        <v>89</v>
      </c>
      <c r="L109" s="105" t="s">
        <v>90</v>
      </c>
      <c r="M109" s="676"/>
      <c r="N109" s="678"/>
    </row>
    <row r="110" spans="1:14" s="74" customFormat="1" ht="19.899999999999999" customHeight="1" x14ac:dyDescent="0.25">
      <c r="A110" s="109" t="s">
        <v>56</v>
      </c>
      <c r="B110" s="110"/>
      <c r="C110" s="111"/>
      <c r="D110" s="112">
        <v>7</v>
      </c>
      <c r="E110" s="112">
        <v>5</v>
      </c>
      <c r="F110" s="112">
        <v>5</v>
      </c>
      <c r="G110" s="112">
        <v>5</v>
      </c>
      <c r="H110" s="112">
        <v>5</v>
      </c>
      <c r="I110" s="112">
        <v>5</v>
      </c>
      <c r="J110" s="112">
        <v>5</v>
      </c>
      <c r="K110" s="112">
        <v>5</v>
      </c>
      <c r="L110" s="112">
        <v>5</v>
      </c>
      <c r="M110" s="112">
        <v>4</v>
      </c>
      <c r="N110" s="112">
        <v>2</v>
      </c>
    </row>
    <row r="111" spans="1:14" ht="14.45" customHeight="1" x14ac:dyDescent="0.25">
      <c r="A111" s="113" t="s">
        <v>361</v>
      </c>
      <c r="B111" s="113" t="s">
        <v>510</v>
      </c>
      <c r="C111" s="597" t="s">
        <v>215</v>
      </c>
      <c r="D111" s="209">
        <v>239</v>
      </c>
      <c r="E111" s="115">
        <v>2</v>
      </c>
      <c r="F111" s="121">
        <f>+D111/E111</f>
        <v>119.5</v>
      </c>
      <c r="G111" s="120" t="s">
        <v>224</v>
      </c>
      <c r="H111" s="120" t="s">
        <v>224</v>
      </c>
      <c r="I111" s="120" t="s">
        <v>224</v>
      </c>
      <c r="J111" s="120" t="s">
        <v>224</v>
      </c>
      <c r="K111" s="120" t="s">
        <v>227</v>
      </c>
      <c r="L111" s="120" t="s">
        <v>224</v>
      </c>
      <c r="M111" s="120" t="s">
        <v>227</v>
      </c>
      <c r="N111" s="475" t="s">
        <v>233</v>
      </c>
    </row>
    <row r="112" spans="1:14" ht="14.45" customHeight="1" x14ac:dyDescent="0.25">
      <c r="A112" s="113" t="s">
        <v>417</v>
      </c>
      <c r="B112" s="113" t="s">
        <v>245</v>
      </c>
      <c r="C112" s="597" t="s">
        <v>215</v>
      </c>
      <c r="D112" s="209">
        <v>469</v>
      </c>
      <c r="E112" s="115">
        <v>21</v>
      </c>
      <c r="F112" s="121">
        <f>+D112/E112</f>
        <v>22.333333333333332</v>
      </c>
      <c r="G112" s="120" t="s">
        <v>224</v>
      </c>
      <c r="H112" s="120" t="s">
        <v>227</v>
      </c>
      <c r="I112" s="120" t="s">
        <v>224</v>
      </c>
      <c r="J112" s="120" t="s">
        <v>227</v>
      </c>
      <c r="K112" s="120" t="s">
        <v>227</v>
      </c>
      <c r="L112" s="120" t="s">
        <v>227</v>
      </c>
      <c r="M112" s="120" t="s">
        <v>227</v>
      </c>
      <c r="N112" s="120" t="s">
        <v>227</v>
      </c>
    </row>
    <row r="113" spans="1:14" ht="14.45" customHeight="1" x14ac:dyDescent="0.25">
      <c r="A113" s="616" t="s">
        <v>364</v>
      </c>
      <c r="B113" s="616" t="s">
        <v>529</v>
      </c>
      <c r="C113" s="568" t="s">
        <v>215</v>
      </c>
      <c r="D113" s="212">
        <v>178</v>
      </c>
      <c r="E113" s="686" t="s">
        <v>233</v>
      </c>
      <c r="F113" s="571" t="s">
        <v>233</v>
      </c>
      <c r="G113" s="475" t="s">
        <v>233</v>
      </c>
      <c r="H113" s="475" t="s">
        <v>233</v>
      </c>
      <c r="I113" s="475" t="s">
        <v>233</v>
      </c>
      <c r="J113" s="475" t="s">
        <v>233</v>
      </c>
      <c r="K113" s="475" t="s">
        <v>233</v>
      </c>
      <c r="L113" s="475" t="s">
        <v>233</v>
      </c>
      <c r="M113" s="475" t="s">
        <v>233</v>
      </c>
      <c r="N113" s="475" t="s">
        <v>233</v>
      </c>
    </row>
    <row r="114" spans="1:14" ht="14.45" customHeight="1" x14ac:dyDescent="0.25">
      <c r="A114" s="113" t="s">
        <v>364</v>
      </c>
      <c r="B114" s="113" t="s">
        <v>511</v>
      </c>
      <c r="C114" s="597" t="s">
        <v>215</v>
      </c>
      <c r="D114" s="209">
        <v>176</v>
      </c>
      <c r="E114" s="115">
        <v>0</v>
      </c>
      <c r="F114" s="121">
        <v>0</v>
      </c>
      <c r="G114" s="120" t="s">
        <v>224</v>
      </c>
      <c r="H114" s="120" t="s">
        <v>227</v>
      </c>
      <c r="I114" s="120" t="s">
        <v>224</v>
      </c>
      <c r="J114" s="120" t="s">
        <v>227</v>
      </c>
      <c r="K114" s="120" t="s">
        <v>227</v>
      </c>
      <c r="L114" s="120" t="s">
        <v>224</v>
      </c>
      <c r="M114" s="120" t="s">
        <v>227</v>
      </c>
      <c r="N114" s="475" t="s">
        <v>233</v>
      </c>
    </row>
    <row r="115" spans="1:14" ht="14.45" customHeight="1" x14ac:dyDescent="0.25">
      <c r="A115" s="113" t="s">
        <v>485</v>
      </c>
      <c r="B115" s="113" t="s">
        <v>481</v>
      </c>
      <c r="C115" s="597" t="s">
        <v>215</v>
      </c>
      <c r="D115" s="209">
        <v>619</v>
      </c>
      <c r="E115" s="115">
        <v>9</v>
      </c>
      <c r="F115" s="121">
        <f>D115/E115</f>
        <v>68.777777777777771</v>
      </c>
      <c r="G115" s="120" t="s">
        <v>224</v>
      </c>
      <c r="H115" s="120" t="s">
        <v>227</v>
      </c>
      <c r="I115" s="120" t="s">
        <v>224</v>
      </c>
      <c r="J115" s="120" t="s">
        <v>227</v>
      </c>
      <c r="K115" s="120" t="s">
        <v>224</v>
      </c>
      <c r="L115" s="120" t="s">
        <v>224</v>
      </c>
      <c r="M115" s="475" t="s">
        <v>233</v>
      </c>
      <c r="N115" s="475" t="s">
        <v>233</v>
      </c>
    </row>
    <row r="116" spans="1:14" ht="14.45" customHeight="1" x14ac:dyDescent="0.25">
      <c r="A116" s="113" t="s">
        <v>257</v>
      </c>
      <c r="B116" s="113" t="s">
        <v>482</v>
      </c>
      <c r="C116" s="597" t="s">
        <v>215</v>
      </c>
      <c r="D116" s="209">
        <v>26</v>
      </c>
      <c r="E116" s="115">
        <v>0</v>
      </c>
      <c r="F116" s="121">
        <v>0</v>
      </c>
      <c r="G116" s="120" t="s">
        <v>224</v>
      </c>
      <c r="H116" s="120" t="s">
        <v>227</v>
      </c>
      <c r="I116" s="120" t="s">
        <v>224</v>
      </c>
      <c r="J116" s="120" t="s">
        <v>224</v>
      </c>
      <c r="K116" s="120" t="s">
        <v>227</v>
      </c>
      <c r="L116" s="120" t="s">
        <v>227</v>
      </c>
      <c r="M116" s="120" t="s">
        <v>224</v>
      </c>
      <c r="N116" s="120" t="s">
        <v>224</v>
      </c>
    </row>
    <row r="117" spans="1:14" ht="14.45" customHeight="1" x14ac:dyDescent="0.25">
      <c r="A117" s="113" t="s">
        <v>166</v>
      </c>
      <c r="B117" s="113" t="s">
        <v>246</v>
      </c>
      <c r="C117" s="597" t="s">
        <v>215</v>
      </c>
      <c r="D117" s="209">
        <v>519</v>
      </c>
      <c r="E117" s="686" t="s">
        <v>233</v>
      </c>
      <c r="F117" s="571" t="s">
        <v>233</v>
      </c>
      <c r="G117" s="475" t="s">
        <v>233</v>
      </c>
      <c r="H117" s="686" t="s">
        <v>233</v>
      </c>
      <c r="I117" s="686" t="s">
        <v>233</v>
      </c>
      <c r="J117" s="686" t="s">
        <v>233</v>
      </c>
      <c r="K117" s="686" t="s">
        <v>233</v>
      </c>
      <c r="L117" s="686" t="s">
        <v>233</v>
      </c>
      <c r="M117" s="686" t="s">
        <v>233</v>
      </c>
      <c r="N117" s="686" t="s">
        <v>233</v>
      </c>
    </row>
    <row r="118" spans="1:14" s="136" customFormat="1" ht="14.45" customHeight="1" x14ac:dyDescent="0.25">
      <c r="A118" s="128"/>
      <c r="B118" s="129"/>
      <c r="C118" s="90" t="s">
        <v>7</v>
      </c>
      <c r="D118" s="130">
        <f>SUM(D111:D117)</f>
        <v>2226</v>
      </c>
      <c r="E118" s="130">
        <f>SUM(E111:E117)</f>
        <v>32</v>
      </c>
      <c r="F118" s="619"/>
      <c r="G118" s="134">
        <v>5</v>
      </c>
      <c r="H118" s="134">
        <v>1</v>
      </c>
      <c r="I118" s="134">
        <v>5</v>
      </c>
      <c r="J118" s="134">
        <v>2</v>
      </c>
      <c r="K118" s="134">
        <v>1</v>
      </c>
      <c r="L118" s="134">
        <v>3</v>
      </c>
      <c r="M118" s="134">
        <v>1</v>
      </c>
      <c r="N118" s="134">
        <v>1</v>
      </c>
    </row>
    <row r="119" spans="1:14" s="142" customFormat="1" ht="14.45" customHeight="1" x14ac:dyDescent="0.25">
      <c r="A119" s="137"/>
      <c r="B119" s="138"/>
      <c r="C119" s="139" t="s">
        <v>8</v>
      </c>
      <c r="D119" s="130">
        <f>AVERAGE(D111:D117)</f>
        <v>318</v>
      </c>
      <c r="E119" s="133">
        <f>AVERAGE(E111:E117)</f>
        <v>6.4</v>
      </c>
      <c r="F119" s="619">
        <f>AVERAGE(F111:F117)</f>
        <v>42.12222222222222</v>
      </c>
      <c r="G119" s="134"/>
      <c r="H119" s="134"/>
      <c r="I119" s="134"/>
      <c r="J119" s="134"/>
      <c r="K119" s="134"/>
      <c r="L119" s="134"/>
      <c r="M119" s="134"/>
      <c r="N119" s="134"/>
    </row>
    <row r="120" spans="1:14" s="142" customFormat="1" ht="14.45" customHeight="1" x14ac:dyDescent="0.25">
      <c r="A120" s="137"/>
      <c r="B120" s="138"/>
      <c r="C120" s="139" t="s">
        <v>9</v>
      </c>
      <c r="D120" s="130">
        <f>MEDIAN(D111:D117)</f>
        <v>239</v>
      </c>
      <c r="E120" s="133">
        <f>MEDIAN(E111:E117)</f>
        <v>2</v>
      </c>
      <c r="F120" s="133">
        <f>MEDIAN(F111:F117)</f>
        <v>22.333333333333332</v>
      </c>
      <c r="G120" s="134"/>
      <c r="H120" s="134"/>
      <c r="I120" s="134"/>
      <c r="J120" s="134"/>
      <c r="K120" s="134"/>
      <c r="L120" s="134"/>
      <c r="M120" s="134"/>
      <c r="N120" s="134"/>
    </row>
    <row r="121" spans="1:14" s="142" customFormat="1" ht="14.45" customHeight="1" x14ac:dyDescent="0.25">
      <c r="A121" s="144"/>
      <c r="B121" s="145"/>
      <c r="C121" s="139" t="s">
        <v>30</v>
      </c>
      <c r="D121" s="146"/>
      <c r="E121" s="130"/>
      <c r="F121" s="133"/>
      <c r="G121" s="148">
        <f t="shared" ref="G121:N121" si="13">+G118/G110</f>
        <v>1</v>
      </c>
      <c r="H121" s="148">
        <f t="shared" si="13"/>
        <v>0.2</v>
      </c>
      <c r="I121" s="148">
        <f t="shared" si="13"/>
        <v>1</v>
      </c>
      <c r="J121" s="148">
        <f t="shared" si="13"/>
        <v>0.4</v>
      </c>
      <c r="K121" s="148">
        <f t="shared" si="13"/>
        <v>0.2</v>
      </c>
      <c r="L121" s="148">
        <f t="shared" si="13"/>
        <v>0.6</v>
      </c>
      <c r="M121" s="148">
        <f t="shared" si="13"/>
        <v>0.25</v>
      </c>
      <c r="N121" s="148">
        <f t="shared" si="13"/>
        <v>0.5</v>
      </c>
    </row>
    <row r="122" spans="1:14" x14ac:dyDescent="0.25">
      <c r="B122" s="150"/>
      <c r="C122" s="151"/>
      <c r="D122" s="152"/>
    </row>
    <row r="123" spans="1:14" x14ac:dyDescent="0.25">
      <c r="B123" s="150"/>
      <c r="C123" s="151"/>
      <c r="D123" s="152"/>
    </row>
    <row r="124" spans="1:14" s="161" customFormat="1" ht="16.899999999999999" customHeight="1" x14ac:dyDescent="0.25">
      <c r="A124" s="538" t="s">
        <v>672</v>
      </c>
      <c r="B124" s="539"/>
      <c r="C124" s="539"/>
      <c r="D124" s="540"/>
      <c r="E124" s="543"/>
      <c r="F124" s="543"/>
      <c r="G124" s="544"/>
      <c r="H124" s="541"/>
      <c r="I124" s="543"/>
      <c r="J124" s="543"/>
      <c r="K124" s="543"/>
      <c r="L124" s="543"/>
      <c r="M124" s="543"/>
      <c r="N124" s="670"/>
    </row>
    <row r="125" spans="1:14" s="74" customFormat="1" ht="19.899999999999999" customHeight="1" x14ac:dyDescent="0.25">
      <c r="A125" s="602"/>
      <c r="B125" s="603"/>
      <c r="C125" s="603"/>
      <c r="D125" s="604"/>
      <c r="E125" s="671" t="s">
        <v>72</v>
      </c>
      <c r="F125" s="672" t="s">
        <v>75</v>
      </c>
      <c r="G125" s="671" t="s">
        <v>91</v>
      </c>
      <c r="H125" s="673" t="s">
        <v>84</v>
      </c>
      <c r="I125" s="504" t="s">
        <v>85</v>
      </c>
      <c r="J125" s="96"/>
      <c r="K125" s="96"/>
      <c r="L125" s="97"/>
      <c r="M125" s="674" t="s">
        <v>81</v>
      </c>
      <c r="N125" s="674" t="s">
        <v>86</v>
      </c>
    </row>
    <row r="126" spans="1:14" s="74" customFormat="1" ht="30.6" customHeight="1" x14ac:dyDescent="0.25">
      <c r="A126" s="100" t="s">
        <v>11</v>
      </c>
      <c r="B126" s="100" t="s">
        <v>12</v>
      </c>
      <c r="C126" s="100" t="s">
        <v>2</v>
      </c>
      <c r="D126" s="675" t="s">
        <v>5</v>
      </c>
      <c r="E126" s="676"/>
      <c r="F126" s="677"/>
      <c r="G126" s="676"/>
      <c r="H126" s="676"/>
      <c r="I126" s="105" t="s">
        <v>87</v>
      </c>
      <c r="J126" s="105" t="s">
        <v>88</v>
      </c>
      <c r="K126" s="105" t="s">
        <v>89</v>
      </c>
      <c r="L126" s="105" t="s">
        <v>90</v>
      </c>
      <c r="M126" s="676"/>
      <c r="N126" s="678"/>
    </row>
    <row r="127" spans="1:14" s="74" customFormat="1" ht="19.899999999999999" customHeight="1" x14ac:dyDescent="0.25">
      <c r="A127" s="109" t="s">
        <v>56</v>
      </c>
      <c r="B127" s="110"/>
      <c r="C127" s="111"/>
      <c r="D127" s="112">
        <v>62</v>
      </c>
      <c r="E127" s="112">
        <v>52</v>
      </c>
      <c r="F127" s="112">
        <v>52</v>
      </c>
      <c r="G127" s="112">
        <v>57</v>
      </c>
      <c r="H127" s="112">
        <v>55</v>
      </c>
      <c r="I127" s="112">
        <v>58</v>
      </c>
      <c r="J127" s="112">
        <v>56</v>
      </c>
      <c r="K127" s="112">
        <v>43</v>
      </c>
      <c r="L127" s="112">
        <v>44</v>
      </c>
      <c r="M127" s="558">
        <v>47</v>
      </c>
      <c r="N127" s="112">
        <v>40</v>
      </c>
    </row>
    <row r="128" spans="1:14" ht="14.65" customHeight="1" x14ac:dyDescent="0.25">
      <c r="A128" s="113" t="s">
        <v>361</v>
      </c>
      <c r="B128" s="113" t="s">
        <v>321</v>
      </c>
      <c r="C128" s="597" t="s">
        <v>216</v>
      </c>
      <c r="D128" s="200">
        <v>14</v>
      </c>
      <c r="E128" s="115">
        <v>16</v>
      </c>
      <c r="F128" s="560">
        <f>+D128/E128</f>
        <v>0.875</v>
      </c>
      <c r="G128" s="120" t="s">
        <v>224</v>
      </c>
      <c r="H128" s="120" t="s">
        <v>224</v>
      </c>
      <c r="I128" s="120" t="s">
        <v>224</v>
      </c>
      <c r="J128" s="120" t="s">
        <v>224</v>
      </c>
      <c r="K128" s="120" t="s">
        <v>224</v>
      </c>
      <c r="L128" s="120" t="s">
        <v>224</v>
      </c>
      <c r="M128" s="120" t="s">
        <v>224</v>
      </c>
      <c r="N128" s="120" t="s">
        <v>224</v>
      </c>
    </row>
    <row r="129" spans="1:14" ht="14.65" customHeight="1" x14ac:dyDescent="0.25">
      <c r="A129" s="113" t="s">
        <v>361</v>
      </c>
      <c r="B129" s="113" t="s">
        <v>512</v>
      </c>
      <c r="C129" s="597" t="s">
        <v>216</v>
      </c>
      <c r="D129" s="200">
        <v>257</v>
      </c>
      <c r="E129" s="115">
        <v>0</v>
      </c>
      <c r="F129" s="560">
        <v>0</v>
      </c>
      <c r="G129" s="120" t="s">
        <v>224</v>
      </c>
      <c r="H129" s="120" t="s">
        <v>224</v>
      </c>
      <c r="I129" s="120" t="s">
        <v>224</v>
      </c>
      <c r="J129" s="120" t="s">
        <v>224</v>
      </c>
      <c r="K129" s="120" t="s">
        <v>227</v>
      </c>
      <c r="L129" s="120" t="s">
        <v>227</v>
      </c>
      <c r="M129" s="120" t="s">
        <v>224</v>
      </c>
      <c r="N129" s="120" t="s">
        <v>224</v>
      </c>
    </row>
    <row r="130" spans="1:14" ht="14.65" customHeight="1" x14ac:dyDescent="0.25">
      <c r="A130" s="113" t="s">
        <v>361</v>
      </c>
      <c r="B130" s="113" t="s">
        <v>262</v>
      </c>
      <c r="C130" s="597" t="s">
        <v>216</v>
      </c>
      <c r="D130" s="200">
        <v>249</v>
      </c>
      <c r="E130" s="687" t="s">
        <v>678</v>
      </c>
      <c r="F130" s="680" t="s">
        <v>678</v>
      </c>
      <c r="G130" s="120" t="s">
        <v>224</v>
      </c>
      <c r="H130" s="120" t="s">
        <v>224</v>
      </c>
      <c r="I130" s="120" t="s">
        <v>224</v>
      </c>
      <c r="J130" s="120" t="s">
        <v>224</v>
      </c>
      <c r="K130" s="120" t="s">
        <v>224</v>
      </c>
      <c r="L130" s="120" t="s">
        <v>224</v>
      </c>
      <c r="M130" s="120" t="s">
        <v>224</v>
      </c>
      <c r="N130" s="120" t="s">
        <v>224</v>
      </c>
    </row>
    <row r="131" spans="1:14" ht="14.65" customHeight="1" x14ac:dyDescent="0.25">
      <c r="A131" s="113" t="s">
        <v>180</v>
      </c>
      <c r="B131" s="113" t="s">
        <v>263</v>
      </c>
      <c r="C131" s="597" t="s">
        <v>216</v>
      </c>
      <c r="D131" s="200">
        <v>389</v>
      </c>
      <c r="E131" s="115">
        <v>0</v>
      </c>
      <c r="F131" s="569">
        <v>0</v>
      </c>
      <c r="G131" s="120" t="s">
        <v>224</v>
      </c>
      <c r="H131" s="120" t="s">
        <v>227</v>
      </c>
      <c r="I131" s="120" t="s">
        <v>224</v>
      </c>
      <c r="J131" s="120" t="s">
        <v>224</v>
      </c>
      <c r="K131" s="687" t="s">
        <v>678</v>
      </c>
      <c r="L131" s="687" t="s">
        <v>678</v>
      </c>
      <c r="M131" s="687" t="s">
        <v>678</v>
      </c>
      <c r="N131" s="687" t="s">
        <v>678</v>
      </c>
    </row>
    <row r="132" spans="1:14" ht="14.65" customHeight="1" x14ac:dyDescent="0.25">
      <c r="A132" s="113" t="s">
        <v>163</v>
      </c>
      <c r="B132" s="113" t="s">
        <v>513</v>
      </c>
      <c r="C132" s="597" t="s">
        <v>216</v>
      </c>
      <c r="D132" s="200">
        <v>345</v>
      </c>
      <c r="E132" s="115">
        <v>20</v>
      </c>
      <c r="F132" s="569">
        <f>+D132/E132</f>
        <v>17.25</v>
      </c>
      <c r="G132" s="120" t="s">
        <v>224</v>
      </c>
      <c r="H132" s="120" t="s">
        <v>224</v>
      </c>
      <c r="I132" s="120" t="s">
        <v>224</v>
      </c>
      <c r="J132" s="120" t="s">
        <v>224</v>
      </c>
      <c r="K132" s="120" t="s">
        <v>224</v>
      </c>
      <c r="L132" s="120" t="s">
        <v>224</v>
      </c>
      <c r="M132" s="120" t="s">
        <v>227</v>
      </c>
      <c r="N132" s="120" t="s">
        <v>227</v>
      </c>
    </row>
    <row r="133" spans="1:14" ht="14.65" customHeight="1" x14ac:dyDescent="0.25">
      <c r="A133" s="113" t="s">
        <v>362</v>
      </c>
      <c r="B133" s="113" t="s">
        <v>322</v>
      </c>
      <c r="C133" s="597" t="s">
        <v>217</v>
      </c>
      <c r="D133" s="200">
        <v>424</v>
      </c>
      <c r="E133" s="115">
        <v>1</v>
      </c>
      <c r="F133" s="569">
        <f>+D133/E133</f>
        <v>424</v>
      </c>
      <c r="G133" s="120" t="s">
        <v>224</v>
      </c>
      <c r="H133" s="120" t="s">
        <v>227</v>
      </c>
      <c r="I133" s="120" t="s">
        <v>224</v>
      </c>
      <c r="J133" s="120" t="s">
        <v>224</v>
      </c>
      <c r="K133" s="120" t="s">
        <v>224</v>
      </c>
      <c r="L133" s="120" t="s">
        <v>224</v>
      </c>
      <c r="M133" s="120" t="s">
        <v>227</v>
      </c>
      <c r="N133" s="120" t="s">
        <v>224</v>
      </c>
    </row>
    <row r="134" spans="1:14" ht="14.65" customHeight="1" x14ac:dyDescent="0.25">
      <c r="A134" s="113" t="s">
        <v>362</v>
      </c>
      <c r="B134" s="113" t="s">
        <v>264</v>
      </c>
      <c r="C134" s="597" t="s">
        <v>217</v>
      </c>
      <c r="D134" s="200">
        <v>381</v>
      </c>
      <c r="E134" s="115">
        <v>4</v>
      </c>
      <c r="F134" s="569">
        <f t="shared" ref="F134:F142" si="14">+D134/E134</f>
        <v>95.25</v>
      </c>
      <c r="G134" s="120" t="s">
        <v>224</v>
      </c>
      <c r="H134" s="120" t="s">
        <v>227</v>
      </c>
      <c r="I134" s="120" t="s">
        <v>224</v>
      </c>
      <c r="J134" s="120" t="s">
        <v>224</v>
      </c>
      <c r="K134" s="120" t="s">
        <v>224</v>
      </c>
      <c r="L134" s="120" t="s">
        <v>224</v>
      </c>
      <c r="M134" s="120" t="s">
        <v>224</v>
      </c>
      <c r="N134" s="120" t="s">
        <v>224</v>
      </c>
    </row>
    <row r="135" spans="1:14" ht="14.65" customHeight="1" x14ac:dyDescent="0.25">
      <c r="A135" s="113" t="s">
        <v>362</v>
      </c>
      <c r="B135" s="113" t="s">
        <v>514</v>
      </c>
      <c r="C135" s="597" t="s">
        <v>217</v>
      </c>
      <c r="D135" s="200">
        <v>199</v>
      </c>
      <c r="E135" s="115">
        <v>2</v>
      </c>
      <c r="F135" s="569">
        <f t="shared" si="14"/>
        <v>99.5</v>
      </c>
      <c r="G135" s="120" t="s">
        <v>224</v>
      </c>
      <c r="H135" s="120" t="s">
        <v>227</v>
      </c>
      <c r="I135" s="120" t="s">
        <v>224</v>
      </c>
      <c r="J135" s="120" t="s">
        <v>224</v>
      </c>
      <c r="K135" s="120" t="s">
        <v>224</v>
      </c>
      <c r="L135" s="120" t="s">
        <v>224</v>
      </c>
      <c r="M135" s="120" t="s">
        <v>227</v>
      </c>
      <c r="N135" s="120" t="s">
        <v>227</v>
      </c>
    </row>
    <row r="136" spans="1:14" ht="14.65" customHeight="1" x14ac:dyDescent="0.25">
      <c r="A136" s="113" t="s">
        <v>362</v>
      </c>
      <c r="B136" s="113" t="s">
        <v>323</v>
      </c>
      <c r="C136" s="597" t="s">
        <v>217</v>
      </c>
      <c r="D136" s="200">
        <v>210</v>
      </c>
      <c r="E136" s="687" t="s">
        <v>678</v>
      </c>
      <c r="F136" s="688" t="s">
        <v>678</v>
      </c>
      <c r="G136" s="687" t="s">
        <v>678</v>
      </c>
      <c r="H136" s="687" t="s">
        <v>678</v>
      </c>
      <c r="I136" s="687" t="s">
        <v>678</v>
      </c>
      <c r="J136" s="687" t="s">
        <v>678</v>
      </c>
      <c r="K136" s="687" t="s">
        <v>678</v>
      </c>
      <c r="L136" s="687" t="s">
        <v>678</v>
      </c>
      <c r="M136" s="687" t="s">
        <v>678</v>
      </c>
      <c r="N136" s="687" t="s">
        <v>678</v>
      </c>
    </row>
    <row r="137" spans="1:14" ht="14.65" customHeight="1" x14ac:dyDescent="0.25">
      <c r="A137" s="113" t="s">
        <v>362</v>
      </c>
      <c r="B137" s="113" t="s">
        <v>265</v>
      </c>
      <c r="C137" s="597" t="s">
        <v>217</v>
      </c>
      <c r="D137" s="200">
        <v>323</v>
      </c>
      <c r="E137" s="115">
        <v>5</v>
      </c>
      <c r="F137" s="569">
        <f t="shared" si="14"/>
        <v>64.599999999999994</v>
      </c>
      <c r="G137" s="120" t="s">
        <v>224</v>
      </c>
      <c r="H137" s="120" t="s">
        <v>224</v>
      </c>
      <c r="I137" s="120" t="s">
        <v>224</v>
      </c>
      <c r="J137" s="120" t="s">
        <v>224</v>
      </c>
      <c r="K137" s="120" t="s">
        <v>224</v>
      </c>
      <c r="L137" s="120" t="s">
        <v>224</v>
      </c>
      <c r="M137" s="120" t="s">
        <v>227</v>
      </c>
      <c r="N137" s="120" t="s">
        <v>224</v>
      </c>
    </row>
    <row r="138" spans="1:14" ht="14.65" customHeight="1" x14ac:dyDescent="0.25">
      <c r="A138" s="113" t="s">
        <v>362</v>
      </c>
      <c r="B138" s="113" t="s">
        <v>324</v>
      </c>
      <c r="C138" s="597" t="s">
        <v>217</v>
      </c>
      <c r="D138" s="200">
        <v>302</v>
      </c>
      <c r="E138" s="115">
        <v>4</v>
      </c>
      <c r="F138" s="569">
        <f t="shared" si="14"/>
        <v>75.5</v>
      </c>
      <c r="G138" s="120" t="s">
        <v>224</v>
      </c>
      <c r="H138" s="120" t="s">
        <v>224</v>
      </c>
      <c r="I138" s="120" t="s">
        <v>224</v>
      </c>
      <c r="J138" s="120" t="s">
        <v>224</v>
      </c>
      <c r="K138" s="120" t="s">
        <v>224</v>
      </c>
      <c r="L138" s="120" t="s">
        <v>224</v>
      </c>
      <c r="M138" s="120" t="s">
        <v>227</v>
      </c>
      <c r="N138" s="120" t="s">
        <v>224</v>
      </c>
    </row>
    <row r="139" spans="1:14" ht="14.65" customHeight="1" x14ac:dyDescent="0.25">
      <c r="A139" s="113" t="s">
        <v>362</v>
      </c>
      <c r="B139" s="113" t="s">
        <v>515</v>
      </c>
      <c r="C139" s="597" t="s">
        <v>272</v>
      </c>
      <c r="D139" s="200">
        <v>260</v>
      </c>
      <c r="E139" s="115">
        <v>24</v>
      </c>
      <c r="F139" s="569">
        <f t="shared" si="14"/>
        <v>10.833333333333334</v>
      </c>
      <c r="G139" s="120" t="s">
        <v>224</v>
      </c>
      <c r="H139" s="120" t="s">
        <v>227</v>
      </c>
      <c r="I139" s="120" t="s">
        <v>224</v>
      </c>
      <c r="J139" s="120" t="s">
        <v>224</v>
      </c>
      <c r="K139" s="120" t="s">
        <v>227</v>
      </c>
      <c r="L139" s="120" t="s">
        <v>224</v>
      </c>
      <c r="M139" s="120" t="s">
        <v>227</v>
      </c>
      <c r="N139" s="120" t="s">
        <v>227</v>
      </c>
    </row>
    <row r="140" spans="1:14" ht="14.65" customHeight="1" x14ac:dyDescent="0.25">
      <c r="A140" s="113" t="s">
        <v>362</v>
      </c>
      <c r="B140" s="113" t="s">
        <v>266</v>
      </c>
      <c r="C140" s="597" t="s">
        <v>217</v>
      </c>
      <c r="D140" s="200">
        <v>389</v>
      </c>
      <c r="E140" s="115">
        <v>25</v>
      </c>
      <c r="F140" s="569">
        <f t="shared" si="14"/>
        <v>15.56</v>
      </c>
      <c r="G140" s="120" t="s">
        <v>224</v>
      </c>
      <c r="H140" s="687" t="s">
        <v>678</v>
      </c>
      <c r="I140" s="120" t="s">
        <v>224</v>
      </c>
      <c r="J140" s="120" t="s">
        <v>224</v>
      </c>
      <c r="K140" s="687" t="s">
        <v>678</v>
      </c>
      <c r="L140" s="687" t="s">
        <v>678</v>
      </c>
      <c r="M140" s="120" t="s">
        <v>224</v>
      </c>
      <c r="N140" s="687" t="s">
        <v>678</v>
      </c>
    </row>
    <row r="141" spans="1:14" ht="14.65" customHeight="1" x14ac:dyDescent="0.25">
      <c r="A141" s="113" t="s">
        <v>157</v>
      </c>
      <c r="B141" s="113" t="s">
        <v>516</v>
      </c>
      <c r="C141" s="597" t="s">
        <v>217</v>
      </c>
      <c r="D141" s="200">
        <v>4</v>
      </c>
      <c r="E141" s="115">
        <v>0</v>
      </c>
      <c r="F141" s="569">
        <v>0</v>
      </c>
      <c r="G141" s="120" t="s">
        <v>224</v>
      </c>
      <c r="H141" s="120" t="s">
        <v>227</v>
      </c>
      <c r="I141" s="120" t="s">
        <v>224</v>
      </c>
      <c r="J141" s="120" t="s">
        <v>227</v>
      </c>
      <c r="K141" s="120" t="s">
        <v>224</v>
      </c>
      <c r="L141" s="120" t="s">
        <v>224</v>
      </c>
      <c r="M141" s="120" t="s">
        <v>227</v>
      </c>
      <c r="N141" s="687" t="s">
        <v>678</v>
      </c>
    </row>
    <row r="142" spans="1:14" ht="14.65" customHeight="1" x14ac:dyDescent="0.25">
      <c r="A142" s="113" t="s">
        <v>157</v>
      </c>
      <c r="B142" s="113" t="s">
        <v>517</v>
      </c>
      <c r="C142" s="597" t="s">
        <v>217</v>
      </c>
      <c r="D142" s="200">
        <v>61</v>
      </c>
      <c r="E142" s="115">
        <v>3</v>
      </c>
      <c r="F142" s="569">
        <f t="shared" si="14"/>
        <v>20.333333333333332</v>
      </c>
      <c r="G142" s="120" t="s">
        <v>224</v>
      </c>
      <c r="H142" s="120" t="s">
        <v>227</v>
      </c>
      <c r="I142" s="120" t="s">
        <v>224</v>
      </c>
      <c r="J142" s="120" t="s">
        <v>227</v>
      </c>
      <c r="K142" s="120" t="s">
        <v>224</v>
      </c>
      <c r="L142" s="120" t="s">
        <v>224</v>
      </c>
      <c r="M142" s="120" t="s">
        <v>227</v>
      </c>
      <c r="N142" s="687" t="s">
        <v>678</v>
      </c>
    </row>
    <row r="143" spans="1:14" ht="14.65" customHeight="1" x14ac:dyDescent="0.25">
      <c r="A143" s="113" t="s">
        <v>157</v>
      </c>
      <c r="B143" s="113" t="s">
        <v>518</v>
      </c>
      <c r="C143" s="568" t="s">
        <v>217</v>
      </c>
      <c r="D143" s="200">
        <v>12</v>
      </c>
      <c r="E143" s="687" t="s">
        <v>678</v>
      </c>
      <c r="F143" s="688" t="s">
        <v>678</v>
      </c>
      <c r="G143" s="120" t="s">
        <v>224</v>
      </c>
      <c r="H143" s="120" t="s">
        <v>227</v>
      </c>
      <c r="I143" s="120" t="s">
        <v>224</v>
      </c>
      <c r="J143" s="120" t="s">
        <v>227</v>
      </c>
      <c r="K143" s="120" t="s">
        <v>224</v>
      </c>
      <c r="L143" s="120" t="s">
        <v>224</v>
      </c>
      <c r="M143" s="120" t="s">
        <v>227</v>
      </c>
      <c r="N143" s="687" t="s">
        <v>678</v>
      </c>
    </row>
    <row r="144" spans="1:14" ht="14.65" customHeight="1" x14ac:dyDescent="0.25">
      <c r="A144" s="113" t="s">
        <v>182</v>
      </c>
      <c r="B144" s="113" t="s">
        <v>519</v>
      </c>
      <c r="C144" s="568" t="s">
        <v>275</v>
      </c>
      <c r="D144" s="200">
        <v>253</v>
      </c>
      <c r="E144" s="687" t="s">
        <v>678</v>
      </c>
      <c r="F144" s="688" t="s">
        <v>678</v>
      </c>
      <c r="G144" s="687" t="s">
        <v>678</v>
      </c>
      <c r="H144" s="687" t="s">
        <v>678</v>
      </c>
      <c r="I144" s="687" t="s">
        <v>678</v>
      </c>
      <c r="J144" s="687" t="s">
        <v>678</v>
      </c>
      <c r="K144" s="687" t="s">
        <v>678</v>
      </c>
      <c r="L144" s="687" t="s">
        <v>678</v>
      </c>
      <c r="M144" s="687" t="s">
        <v>678</v>
      </c>
      <c r="N144" s="687" t="s">
        <v>678</v>
      </c>
    </row>
    <row r="145" spans="1:14" ht="14.65" customHeight="1" x14ac:dyDescent="0.25">
      <c r="A145" s="113" t="s">
        <v>159</v>
      </c>
      <c r="B145" s="113" t="s">
        <v>267</v>
      </c>
      <c r="C145" s="568" t="s">
        <v>273</v>
      </c>
      <c r="D145" s="200">
        <v>236</v>
      </c>
      <c r="E145" s="115">
        <v>15</v>
      </c>
      <c r="F145" s="569">
        <f>D145/E145</f>
        <v>15.733333333333333</v>
      </c>
      <c r="G145" s="120" t="s">
        <v>224</v>
      </c>
      <c r="H145" s="120" t="s">
        <v>224</v>
      </c>
      <c r="I145" s="120" t="s">
        <v>224</v>
      </c>
      <c r="J145" s="120" t="s">
        <v>224</v>
      </c>
      <c r="K145" s="120" t="s">
        <v>227</v>
      </c>
      <c r="L145" s="120" t="s">
        <v>224</v>
      </c>
      <c r="M145" s="120" t="s">
        <v>227</v>
      </c>
      <c r="N145" s="120" t="s">
        <v>227</v>
      </c>
    </row>
    <row r="146" spans="1:14" ht="14.65" customHeight="1" x14ac:dyDescent="0.25">
      <c r="A146" s="113" t="s">
        <v>168</v>
      </c>
      <c r="B146" s="113" t="s">
        <v>520</v>
      </c>
      <c r="C146" s="568" t="s">
        <v>274</v>
      </c>
      <c r="D146" s="200">
        <v>151</v>
      </c>
      <c r="E146" s="687" t="s">
        <v>678</v>
      </c>
      <c r="F146" s="688" t="s">
        <v>678</v>
      </c>
      <c r="G146" s="687" t="s">
        <v>678</v>
      </c>
      <c r="H146" s="687" t="s">
        <v>678</v>
      </c>
      <c r="I146" s="687" t="s">
        <v>678</v>
      </c>
      <c r="J146" s="687" t="s">
        <v>678</v>
      </c>
      <c r="K146" s="687" t="s">
        <v>678</v>
      </c>
      <c r="L146" s="687" t="s">
        <v>678</v>
      </c>
      <c r="M146" s="687" t="s">
        <v>678</v>
      </c>
      <c r="N146" s="687" t="s">
        <v>678</v>
      </c>
    </row>
    <row r="147" spans="1:14" ht="14.65" customHeight="1" x14ac:dyDescent="0.25">
      <c r="A147" s="113" t="s">
        <v>168</v>
      </c>
      <c r="B147" s="113" t="s">
        <v>268</v>
      </c>
      <c r="C147" s="568" t="s">
        <v>274</v>
      </c>
      <c r="D147" s="200">
        <v>208</v>
      </c>
      <c r="E147" s="115">
        <v>0</v>
      </c>
      <c r="F147" s="569">
        <v>0</v>
      </c>
      <c r="G147" s="120" t="s">
        <v>227</v>
      </c>
      <c r="H147" s="120" t="s">
        <v>227</v>
      </c>
      <c r="I147" s="120" t="s">
        <v>224</v>
      </c>
      <c r="J147" s="120" t="s">
        <v>227</v>
      </c>
      <c r="K147" s="687" t="s">
        <v>678</v>
      </c>
      <c r="L147" s="687" t="s">
        <v>678</v>
      </c>
      <c r="M147" s="120" t="s">
        <v>227</v>
      </c>
      <c r="N147" s="687" t="s">
        <v>678</v>
      </c>
    </row>
    <row r="148" spans="1:14" ht="14.65" customHeight="1" x14ac:dyDescent="0.25">
      <c r="A148" s="113" t="s">
        <v>148</v>
      </c>
      <c r="B148" s="113" t="s">
        <v>249</v>
      </c>
      <c r="C148" s="568" t="s">
        <v>217</v>
      </c>
      <c r="D148" s="200">
        <v>388</v>
      </c>
      <c r="E148" s="115">
        <v>0</v>
      </c>
      <c r="F148" s="569">
        <v>0</v>
      </c>
      <c r="G148" s="120" t="s">
        <v>224</v>
      </c>
      <c r="H148" s="120" t="s">
        <v>227</v>
      </c>
      <c r="I148" s="120" t="s">
        <v>224</v>
      </c>
      <c r="J148" s="687" t="s">
        <v>678</v>
      </c>
      <c r="K148" s="120" t="s">
        <v>224</v>
      </c>
      <c r="L148" s="687" t="s">
        <v>678</v>
      </c>
      <c r="M148" s="687" t="s">
        <v>678</v>
      </c>
      <c r="N148" s="687" t="s">
        <v>678</v>
      </c>
    </row>
    <row r="149" spans="1:14" ht="14.65" customHeight="1" x14ac:dyDescent="0.25">
      <c r="A149" s="113" t="s">
        <v>148</v>
      </c>
      <c r="B149" s="113" t="s">
        <v>521</v>
      </c>
      <c r="C149" s="568" t="s">
        <v>217</v>
      </c>
      <c r="D149" s="200">
        <v>312</v>
      </c>
      <c r="E149" s="115">
        <v>0</v>
      </c>
      <c r="F149" s="569">
        <v>0</v>
      </c>
      <c r="G149" s="120" t="s">
        <v>224</v>
      </c>
      <c r="H149" s="120" t="s">
        <v>227</v>
      </c>
      <c r="I149" s="120" t="s">
        <v>227</v>
      </c>
      <c r="J149" s="120" t="s">
        <v>227</v>
      </c>
      <c r="K149" s="120" t="s">
        <v>227</v>
      </c>
      <c r="L149" s="120" t="s">
        <v>227</v>
      </c>
      <c r="M149" s="687" t="s">
        <v>678</v>
      </c>
      <c r="N149" s="687" t="s">
        <v>678</v>
      </c>
    </row>
    <row r="150" spans="1:14" ht="14.65" customHeight="1" x14ac:dyDescent="0.25">
      <c r="A150" s="113" t="s">
        <v>148</v>
      </c>
      <c r="B150" s="113" t="s">
        <v>325</v>
      </c>
      <c r="C150" s="568" t="s">
        <v>217</v>
      </c>
      <c r="D150" s="200">
        <v>164</v>
      </c>
      <c r="E150" s="115">
        <v>5</v>
      </c>
      <c r="F150" s="569">
        <f>+D150/E150</f>
        <v>32.799999999999997</v>
      </c>
      <c r="G150" s="120" t="s">
        <v>224</v>
      </c>
      <c r="H150" s="120" t="s">
        <v>227</v>
      </c>
      <c r="I150" s="120" t="s">
        <v>224</v>
      </c>
      <c r="J150" s="120" t="s">
        <v>227</v>
      </c>
      <c r="K150" s="687" t="s">
        <v>678</v>
      </c>
      <c r="L150" s="687" t="s">
        <v>678</v>
      </c>
      <c r="M150" s="120" t="s">
        <v>224</v>
      </c>
      <c r="N150" s="120" t="s">
        <v>227</v>
      </c>
    </row>
    <row r="151" spans="1:14" ht="14.65" customHeight="1" x14ac:dyDescent="0.25">
      <c r="A151" s="113" t="s">
        <v>148</v>
      </c>
      <c r="B151" s="113" t="s">
        <v>522</v>
      </c>
      <c r="C151" s="597" t="s">
        <v>217</v>
      </c>
      <c r="D151" s="200">
        <v>354</v>
      </c>
      <c r="E151" s="115">
        <v>0</v>
      </c>
      <c r="F151" s="560">
        <v>0</v>
      </c>
      <c r="G151" s="120" t="s">
        <v>224</v>
      </c>
      <c r="H151" s="120" t="s">
        <v>224</v>
      </c>
      <c r="I151" s="120" t="s">
        <v>224</v>
      </c>
      <c r="J151" s="120" t="s">
        <v>224</v>
      </c>
      <c r="K151" s="120" t="s">
        <v>224</v>
      </c>
      <c r="L151" s="120" t="s">
        <v>224</v>
      </c>
      <c r="M151" s="120" t="s">
        <v>224</v>
      </c>
      <c r="N151" s="120" t="s">
        <v>224</v>
      </c>
    </row>
    <row r="152" spans="1:14" ht="14.65" customHeight="1" x14ac:dyDescent="0.25">
      <c r="A152" s="113" t="s">
        <v>148</v>
      </c>
      <c r="B152" s="113" t="s">
        <v>269</v>
      </c>
      <c r="C152" s="568" t="s">
        <v>222</v>
      </c>
      <c r="D152" s="200">
        <v>102</v>
      </c>
      <c r="E152" s="687" t="s">
        <v>678</v>
      </c>
      <c r="F152" s="680" t="s">
        <v>678</v>
      </c>
      <c r="G152" s="120" t="s">
        <v>224</v>
      </c>
      <c r="H152" s="120" t="s">
        <v>224</v>
      </c>
      <c r="I152" s="120" t="s">
        <v>224</v>
      </c>
      <c r="J152" s="120" t="s">
        <v>224</v>
      </c>
      <c r="K152" s="120" t="s">
        <v>224</v>
      </c>
      <c r="L152" s="120" t="s">
        <v>224</v>
      </c>
      <c r="M152" s="120" t="s">
        <v>224</v>
      </c>
      <c r="N152" s="120" t="s">
        <v>224</v>
      </c>
    </row>
    <row r="153" spans="1:14" ht="14.65" customHeight="1" x14ac:dyDescent="0.25">
      <c r="A153" s="113" t="s">
        <v>148</v>
      </c>
      <c r="B153" s="113" t="s">
        <v>523</v>
      </c>
      <c r="C153" s="597" t="s">
        <v>217</v>
      </c>
      <c r="D153" s="200">
        <v>82</v>
      </c>
      <c r="E153" s="687" t="s">
        <v>678</v>
      </c>
      <c r="F153" s="680" t="s">
        <v>678</v>
      </c>
      <c r="G153" s="120" t="s">
        <v>224</v>
      </c>
      <c r="H153" s="120" t="s">
        <v>227</v>
      </c>
      <c r="I153" s="120" t="s">
        <v>224</v>
      </c>
      <c r="J153" s="120" t="s">
        <v>227</v>
      </c>
      <c r="K153" s="687" t="s">
        <v>678</v>
      </c>
      <c r="L153" s="687" t="s">
        <v>678</v>
      </c>
      <c r="M153" s="687" t="s">
        <v>678</v>
      </c>
      <c r="N153" s="687" t="s">
        <v>678</v>
      </c>
    </row>
    <row r="154" spans="1:14" ht="14.65" customHeight="1" x14ac:dyDescent="0.25">
      <c r="A154" s="113" t="s">
        <v>148</v>
      </c>
      <c r="B154" s="113" t="s">
        <v>270</v>
      </c>
      <c r="C154" s="568" t="s">
        <v>217</v>
      </c>
      <c r="D154" s="200">
        <v>258</v>
      </c>
      <c r="E154" s="115">
        <v>7</v>
      </c>
      <c r="F154" s="560">
        <f>+D154/E154</f>
        <v>36.857142857142854</v>
      </c>
      <c r="G154" s="120" t="s">
        <v>224</v>
      </c>
      <c r="H154" s="687" t="s">
        <v>678</v>
      </c>
      <c r="I154" s="120" t="s">
        <v>224</v>
      </c>
      <c r="J154" s="120" t="s">
        <v>224</v>
      </c>
      <c r="K154" s="120" t="s">
        <v>224</v>
      </c>
      <c r="L154" s="120" t="s">
        <v>224</v>
      </c>
      <c r="M154" s="687" t="s">
        <v>678</v>
      </c>
      <c r="N154" s="120" t="s">
        <v>224</v>
      </c>
    </row>
    <row r="155" spans="1:14" ht="14.65" customHeight="1" x14ac:dyDescent="0.25">
      <c r="A155" s="113" t="s">
        <v>148</v>
      </c>
      <c r="B155" s="113" t="s">
        <v>524</v>
      </c>
      <c r="C155" s="568" t="s">
        <v>217</v>
      </c>
      <c r="D155" s="200">
        <v>286</v>
      </c>
      <c r="E155" s="687" t="s">
        <v>678</v>
      </c>
      <c r="F155" s="680" t="s">
        <v>678</v>
      </c>
      <c r="G155" s="687" t="s">
        <v>678</v>
      </c>
      <c r="H155" s="687" t="s">
        <v>678</v>
      </c>
      <c r="I155" s="687" t="s">
        <v>678</v>
      </c>
      <c r="J155" s="687" t="s">
        <v>678</v>
      </c>
      <c r="K155" s="687" t="s">
        <v>678</v>
      </c>
      <c r="L155" s="687" t="s">
        <v>678</v>
      </c>
      <c r="M155" s="687" t="s">
        <v>678</v>
      </c>
      <c r="N155" s="687" t="s">
        <v>678</v>
      </c>
    </row>
    <row r="156" spans="1:14" ht="14.65" customHeight="1" x14ac:dyDescent="0.25">
      <c r="A156" s="113" t="s">
        <v>148</v>
      </c>
      <c r="B156" s="113" t="s">
        <v>525</v>
      </c>
      <c r="C156" s="568" t="s">
        <v>218</v>
      </c>
      <c r="D156" s="200">
        <v>368</v>
      </c>
      <c r="E156" s="687" t="s">
        <v>678</v>
      </c>
      <c r="F156" s="680" t="s">
        <v>678</v>
      </c>
      <c r="G156" s="475" t="s">
        <v>224</v>
      </c>
      <c r="H156" s="120" t="s">
        <v>227</v>
      </c>
      <c r="I156" s="120" t="s">
        <v>224</v>
      </c>
      <c r="J156" s="120" t="s">
        <v>227</v>
      </c>
      <c r="K156" s="120" t="s">
        <v>227</v>
      </c>
      <c r="L156" s="120" t="s">
        <v>227</v>
      </c>
      <c r="M156" s="120" t="s">
        <v>227</v>
      </c>
      <c r="N156" s="120" t="s">
        <v>227</v>
      </c>
    </row>
    <row r="157" spans="1:14" ht="14.65" customHeight="1" x14ac:dyDescent="0.25">
      <c r="A157" s="113" t="s">
        <v>148</v>
      </c>
      <c r="B157" s="113" t="s">
        <v>526</v>
      </c>
      <c r="C157" s="597" t="s">
        <v>217</v>
      </c>
      <c r="D157" s="200">
        <v>344</v>
      </c>
      <c r="E157" s="115">
        <v>35</v>
      </c>
      <c r="F157" s="560">
        <f>D157/E157</f>
        <v>9.8285714285714292</v>
      </c>
      <c r="G157" s="120" t="s">
        <v>224</v>
      </c>
      <c r="H157" s="120" t="s">
        <v>227</v>
      </c>
      <c r="I157" s="120" t="s">
        <v>224</v>
      </c>
      <c r="J157" s="120" t="s">
        <v>227</v>
      </c>
      <c r="K157" s="687" t="s">
        <v>678</v>
      </c>
      <c r="L157" s="687" t="s">
        <v>678</v>
      </c>
      <c r="M157" s="687" t="s">
        <v>678</v>
      </c>
      <c r="N157" s="687" t="s">
        <v>678</v>
      </c>
    </row>
    <row r="158" spans="1:14" ht="14.65" customHeight="1" x14ac:dyDescent="0.25">
      <c r="A158" s="113" t="s">
        <v>256</v>
      </c>
      <c r="B158" s="113" t="s">
        <v>527</v>
      </c>
      <c r="C158" s="597" t="s">
        <v>217</v>
      </c>
      <c r="D158" s="200">
        <v>32</v>
      </c>
      <c r="E158" s="115">
        <v>0</v>
      </c>
      <c r="F158" s="560">
        <v>0</v>
      </c>
      <c r="G158" s="120" t="s">
        <v>224</v>
      </c>
      <c r="H158" s="120" t="s">
        <v>224</v>
      </c>
      <c r="I158" s="120" t="s">
        <v>227</v>
      </c>
      <c r="J158" s="687" t="s">
        <v>678</v>
      </c>
      <c r="K158" s="687" t="s">
        <v>678</v>
      </c>
      <c r="L158" s="120" t="s">
        <v>224</v>
      </c>
      <c r="M158" s="120" t="s">
        <v>227</v>
      </c>
      <c r="N158" s="120" t="s">
        <v>227</v>
      </c>
    </row>
    <row r="159" spans="1:14" ht="14.65" customHeight="1" x14ac:dyDescent="0.25">
      <c r="A159" s="113" t="s">
        <v>178</v>
      </c>
      <c r="B159" s="113" t="s">
        <v>250</v>
      </c>
      <c r="C159" s="597" t="s">
        <v>222</v>
      </c>
      <c r="D159" s="200">
        <v>435</v>
      </c>
      <c r="E159" s="115">
        <v>0</v>
      </c>
      <c r="F159" s="560">
        <v>0</v>
      </c>
      <c r="G159" s="120" t="s">
        <v>224</v>
      </c>
      <c r="H159" s="120" t="s">
        <v>227</v>
      </c>
      <c r="I159" s="120" t="s">
        <v>224</v>
      </c>
      <c r="J159" s="120" t="s">
        <v>224</v>
      </c>
      <c r="K159" s="687" t="s">
        <v>678</v>
      </c>
      <c r="L159" s="687" t="s">
        <v>678</v>
      </c>
      <c r="M159" s="120" t="s">
        <v>224</v>
      </c>
      <c r="N159" s="120" t="s">
        <v>224</v>
      </c>
    </row>
    <row r="160" spans="1:14" ht="14.65" customHeight="1" x14ac:dyDescent="0.25">
      <c r="A160" s="113" t="s">
        <v>178</v>
      </c>
      <c r="B160" s="113" t="s">
        <v>187</v>
      </c>
      <c r="C160" s="627" t="s">
        <v>606</v>
      </c>
      <c r="D160" s="200">
        <v>285</v>
      </c>
      <c r="E160" s="115">
        <v>2</v>
      </c>
      <c r="F160" s="560">
        <f>D160/E160</f>
        <v>142.5</v>
      </c>
      <c r="G160" s="120" t="s">
        <v>224</v>
      </c>
      <c r="H160" s="120" t="s">
        <v>227</v>
      </c>
      <c r="I160" s="120" t="s">
        <v>224</v>
      </c>
      <c r="J160" s="120" t="s">
        <v>224</v>
      </c>
      <c r="K160" s="687" t="s">
        <v>678</v>
      </c>
      <c r="L160" s="687" t="s">
        <v>678</v>
      </c>
      <c r="M160" s="120" t="s">
        <v>224</v>
      </c>
      <c r="N160" s="120" t="s">
        <v>224</v>
      </c>
    </row>
    <row r="161" spans="1:14" ht="14.65" customHeight="1" x14ac:dyDescent="0.25">
      <c r="A161" s="113" t="s">
        <v>178</v>
      </c>
      <c r="B161" s="113" t="s">
        <v>191</v>
      </c>
      <c r="C161" s="627" t="s">
        <v>223</v>
      </c>
      <c r="D161" s="200">
        <v>355</v>
      </c>
      <c r="E161" s="115">
        <v>0</v>
      </c>
      <c r="F161" s="560">
        <v>0</v>
      </c>
      <c r="G161" s="120" t="s">
        <v>224</v>
      </c>
      <c r="H161" s="120" t="s">
        <v>224</v>
      </c>
      <c r="I161" s="120" t="s">
        <v>224</v>
      </c>
      <c r="J161" s="120" t="s">
        <v>224</v>
      </c>
      <c r="K161" s="687" t="s">
        <v>678</v>
      </c>
      <c r="L161" s="120" t="s">
        <v>224</v>
      </c>
      <c r="M161" s="120" t="s">
        <v>227</v>
      </c>
      <c r="N161" s="687" t="s">
        <v>678</v>
      </c>
    </row>
    <row r="162" spans="1:14" ht="14.65" customHeight="1" x14ac:dyDescent="0.25">
      <c r="A162" s="113" t="s">
        <v>178</v>
      </c>
      <c r="B162" s="113" t="s">
        <v>197</v>
      </c>
      <c r="C162" s="568" t="s">
        <v>222</v>
      </c>
      <c r="D162" s="200">
        <v>387</v>
      </c>
      <c r="E162" s="115">
        <v>0</v>
      </c>
      <c r="F162" s="560">
        <v>0</v>
      </c>
      <c r="G162" s="120" t="s">
        <v>224</v>
      </c>
      <c r="H162" s="120" t="s">
        <v>227</v>
      </c>
      <c r="I162" s="120" t="s">
        <v>224</v>
      </c>
      <c r="J162" s="120" t="s">
        <v>224</v>
      </c>
      <c r="K162" s="687" t="s">
        <v>678</v>
      </c>
      <c r="L162" s="687" t="s">
        <v>678</v>
      </c>
      <c r="M162" s="120" t="s">
        <v>224</v>
      </c>
      <c r="N162" s="120" t="s">
        <v>224</v>
      </c>
    </row>
    <row r="163" spans="1:14" ht="14.65" customHeight="1" x14ac:dyDescent="0.25">
      <c r="A163" s="113" t="s">
        <v>364</v>
      </c>
      <c r="B163" s="113" t="s">
        <v>271</v>
      </c>
      <c r="C163" s="568" t="s">
        <v>216</v>
      </c>
      <c r="D163" s="200">
        <v>287</v>
      </c>
      <c r="E163" s="115">
        <v>5</v>
      </c>
      <c r="F163" s="560">
        <f>+D163/E163</f>
        <v>57.4</v>
      </c>
      <c r="G163" s="120" t="s">
        <v>224</v>
      </c>
      <c r="H163" s="120" t="s">
        <v>227</v>
      </c>
      <c r="I163" s="120" t="s">
        <v>224</v>
      </c>
      <c r="J163" s="120" t="s">
        <v>224</v>
      </c>
      <c r="K163" s="120" t="s">
        <v>224</v>
      </c>
      <c r="L163" s="120" t="s">
        <v>224</v>
      </c>
      <c r="M163" s="120" t="s">
        <v>224</v>
      </c>
      <c r="N163" s="120" t="s">
        <v>224</v>
      </c>
    </row>
    <row r="164" spans="1:14" ht="14.65" customHeight="1" x14ac:dyDescent="0.25">
      <c r="A164" s="113" t="s">
        <v>364</v>
      </c>
      <c r="B164" s="113" t="s">
        <v>326</v>
      </c>
      <c r="C164" s="568" t="s">
        <v>216</v>
      </c>
      <c r="D164" s="200">
        <v>332</v>
      </c>
      <c r="E164" s="115">
        <v>0</v>
      </c>
      <c r="F164" s="560">
        <v>0</v>
      </c>
      <c r="G164" s="120" t="s">
        <v>224</v>
      </c>
      <c r="H164" s="120" t="s">
        <v>227</v>
      </c>
      <c r="I164" s="120" t="s">
        <v>227</v>
      </c>
      <c r="J164" s="120" t="s">
        <v>227</v>
      </c>
      <c r="K164" s="687" t="s">
        <v>678</v>
      </c>
      <c r="L164" s="687" t="s">
        <v>678</v>
      </c>
      <c r="M164" s="687" t="s">
        <v>678</v>
      </c>
      <c r="N164" s="687" t="s">
        <v>678</v>
      </c>
    </row>
    <row r="165" spans="1:14" ht="14.65" customHeight="1" x14ac:dyDescent="0.25">
      <c r="A165" s="113" t="s">
        <v>364</v>
      </c>
      <c r="B165" s="113" t="s">
        <v>528</v>
      </c>
      <c r="C165" s="568" t="s">
        <v>216</v>
      </c>
      <c r="D165" s="200">
        <v>312</v>
      </c>
      <c r="E165" s="115">
        <v>0</v>
      </c>
      <c r="F165" s="560">
        <v>0</v>
      </c>
      <c r="G165" s="120" t="s">
        <v>224</v>
      </c>
      <c r="H165" s="120" t="s">
        <v>227</v>
      </c>
      <c r="I165" s="120" t="s">
        <v>227</v>
      </c>
      <c r="J165" s="120" t="s">
        <v>227</v>
      </c>
      <c r="K165" s="120" t="s">
        <v>224</v>
      </c>
      <c r="L165" s="120" t="s">
        <v>224</v>
      </c>
      <c r="M165" s="120" t="s">
        <v>227</v>
      </c>
      <c r="N165" s="120" t="s">
        <v>224</v>
      </c>
    </row>
    <row r="166" spans="1:14" ht="14.65" customHeight="1" x14ac:dyDescent="0.25">
      <c r="A166" s="113" t="s">
        <v>364</v>
      </c>
      <c r="B166" s="113" t="s">
        <v>190</v>
      </c>
      <c r="C166" s="568" t="s">
        <v>216</v>
      </c>
      <c r="D166" s="200">
        <v>293</v>
      </c>
      <c r="E166" s="115">
        <v>1</v>
      </c>
      <c r="F166" s="560">
        <f>D166/E166</f>
        <v>293</v>
      </c>
      <c r="G166" s="120" t="s">
        <v>224</v>
      </c>
      <c r="H166" s="120" t="s">
        <v>224</v>
      </c>
      <c r="I166" s="120" t="s">
        <v>224</v>
      </c>
      <c r="J166" s="120" t="s">
        <v>227</v>
      </c>
      <c r="K166" s="120" t="s">
        <v>227</v>
      </c>
      <c r="L166" s="120" t="s">
        <v>227</v>
      </c>
      <c r="M166" s="120" t="s">
        <v>224</v>
      </c>
      <c r="N166" s="120" t="s">
        <v>224</v>
      </c>
    </row>
    <row r="167" spans="1:14" ht="14.65" customHeight="1" x14ac:dyDescent="0.25">
      <c r="A167" s="113" t="s">
        <v>364</v>
      </c>
      <c r="B167" s="113" t="s">
        <v>327</v>
      </c>
      <c r="C167" s="568" t="s">
        <v>216</v>
      </c>
      <c r="D167" s="200">
        <v>326</v>
      </c>
      <c r="E167" s="115">
        <v>0</v>
      </c>
      <c r="F167" s="560">
        <v>0</v>
      </c>
      <c r="G167" s="120" t="s">
        <v>224</v>
      </c>
      <c r="H167" s="120" t="s">
        <v>227</v>
      </c>
      <c r="I167" s="120" t="s">
        <v>224</v>
      </c>
      <c r="J167" s="120" t="s">
        <v>227</v>
      </c>
      <c r="K167" s="120" t="s">
        <v>227</v>
      </c>
      <c r="L167" s="120" t="s">
        <v>227</v>
      </c>
      <c r="M167" s="687" t="s">
        <v>678</v>
      </c>
      <c r="N167" s="687" t="s">
        <v>678</v>
      </c>
    </row>
    <row r="168" spans="1:14" ht="14.65" customHeight="1" x14ac:dyDescent="0.25">
      <c r="A168" s="113" t="s">
        <v>364</v>
      </c>
      <c r="B168" s="113" t="s">
        <v>530</v>
      </c>
      <c r="C168" s="568" t="s">
        <v>217</v>
      </c>
      <c r="D168" s="200">
        <v>442</v>
      </c>
      <c r="E168" s="115">
        <v>20</v>
      </c>
      <c r="F168" s="560">
        <f>D168/E168</f>
        <v>22.1</v>
      </c>
      <c r="G168" s="120" t="s">
        <v>224</v>
      </c>
      <c r="H168" s="120" t="s">
        <v>224</v>
      </c>
      <c r="I168" s="120" t="s">
        <v>224</v>
      </c>
      <c r="J168" s="120" t="s">
        <v>224</v>
      </c>
      <c r="K168" s="120" t="s">
        <v>227</v>
      </c>
      <c r="L168" s="120" t="s">
        <v>224</v>
      </c>
      <c r="M168" s="120" t="s">
        <v>227</v>
      </c>
      <c r="N168" s="687" t="s">
        <v>678</v>
      </c>
    </row>
    <row r="169" spans="1:14" ht="14.65" customHeight="1" x14ac:dyDescent="0.25">
      <c r="A169" s="113" t="s">
        <v>184</v>
      </c>
      <c r="B169" s="113" t="s">
        <v>531</v>
      </c>
      <c r="C169" s="568" t="s">
        <v>216</v>
      </c>
      <c r="D169" s="200">
        <v>10</v>
      </c>
      <c r="E169" s="120">
        <v>0</v>
      </c>
      <c r="F169" s="689">
        <v>0</v>
      </c>
      <c r="G169" s="120" t="s">
        <v>224</v>
      </c>
      <c r="H169" s="120" t="s">
        <v>227</v>
      </c>
      <c r="I169" s="120" t="s">
        <v>224</v>
      </c>
      <c r="J169" s="120" t="s">
        <v>224</v>
      </c>
      <c r="K169" s="120" t="s">
        <v>224</v>
      </c>
      <c r="L169" s="120" t="s">
        <v>224</v>
      </c>
      <c r="M169" s="120" t="s">
        <v>227</v>
      </c>
      <c r="N169" s="120" t="s">
        <v>227</v>
      </c>
    </row>
    <row r="170" spans="1:14" ht="14.65" customHeight="1" x14ac:dyDescent="0.25">
      <c r="A170" s="113" t="s">
        <v>184</v>
      </c>
      <c r="B170" s="113" t="s">
        <v>199</v>
      </c>
      <c r="C170" s="568" t="s">
        <v>216</v>
      </c>
      <c r="D170" s="200">
        <v>296</v>
      </c>
      <c r="E170" s="115">
        <v>0</v>
      </c>
      <c r="F170" s="210">
        <v>0</v>
      </c>
      <c r="G170" s="120" t="s">
        <v>224</v>
      </c>
      <c r="H170" s="120" t="s">
        <v>224</v>
      </c>
      <c r="I170" s="120" t="s">
        <v>224</v>
      </c>
      <c r="J170" s="120" t="s">
        <v>224</v>
      </c>
      <c r="K170" s="120" t="s">
        <v>224</v>
      </c>
      <c r="L170" s="120" t="s">
        <v>224</v>
      </c>
      <c r="M170" s="120" t="s">
        <v>227</v>
      </c>
      <c r="N170" s="120" t="s">
        <v>227</v>
      </c>
    </row>
    <row r="171" spans="1:14" ht="14.65" customHeight="1" x14ac:dyDescent="0.25">
      <c r="A171" s="113" t="s">
        <v>149</v>
      </c>
      <c r="B171" s="113" t="s">
        <v>328</v>
      </c>
      <c r="C171" s="568" t="s">
        <v>216</v>
      </c>
      <c r="D171" s="200">
        <v>290</v>
      </c>
      <c r="E171" s="115">
        <v>19</v>
      </c>
      <c r="F171" s="560">
        <f>+D171/E171</f>
        <v>15.263157894736842</v>
      </c>
      <c r="G171" s="120" t="s">
        <v>224</v>
      </c>
      <c r="H171" s="120" t="s">
        <v>227</v>
      </c>
      <c r="I171" s="120" t="s">
        <v>224</v>
      </c>
      <c r="J171" s="120" t="s">
        <v>224</v>
      </c>
      <c r="K171" s="120" t="s">
        <v>227</v>
      </c>
      <c r="L171" s="120" t="s">
        <v>224</v>
      </c>
      <c r="M171" s="120" t="s">
        <v>224</v>
      </c>
      <c r="N171" s="120" t="s">
        <v>224</v>
      </c>
    </row>
    <row r="172" spans="1:14" ht="14.65" customHeight="1" x14ac:dyDescent="0.25">
      <c r="A172" s="113" t="s">
        <v>149</v>
      </c>
      <c r="B172" s="113" t="s">
        <v>329</v>
      </c>
      <c r="C172" s="568" t="s">
        <v>216</v>
      </c>
      <c r="D172" s="200">
        <v>301</v>
      </c>
      <c r="E172" s="115">
        <v>4</v>
      </c>
      <c r="F172" s="117">
        <f>+D172/E172</f>
        <v>75.25</v>
      </c>
      <c r="G172" s="120" t="s">
        <v>224</v>
      </c>
      <c r="H172" s="120" t="s">
        <v>227</v>
      </c>
      <c r="I172" s="120" t="s">
        <v>224</v>
      </c>
      <c r="J172" s="120" t="s">
        <v>224</v>
      </c>
      <c r="K172" s="120" t="s">
        <v>227</v>
      </c>
      <c r="L172" s="120" t="s">
        <v>224</v>
      </c>
      <c r="M172" s="120" t="s">
        <v>224</v>
      </c>
      <c r="N172" s="120" t="s">
        <v>224</v>
      </c>
    </row>
    <row r="173" spans="1:14" ht="14.65" customHeight="1" x14ac:dyDescent="0.25">
      <c r="A173" s="113" t="s">
        <v>149</v>
      </c>
      <c r="B173" s="113" t="s">
        <v>330</v>
      </c>
      <c r="C173" s="568" t="s">
        <v>216</v>
      </c>
      <c r="D173" s="200">
        <v>303</v>
      </c>
      <c r="E173" s="115">
        <v>0</v>
      </c>
      <c r="F173" s="560">
        <v>0</v>
      </c>
      <c r="G173" s="120" t="s">
        <v>224</v>
      </c>
      <c r="H173" s="120" t="s">
        <v>227</v>
      </c>
      <c r="I173" s="120" t="s">
        <v>224</v>
      </c>
      <c r="J173" s="120" t="s">
        <v>224</v>
      </c>
      <c r="K173" s="120" t="s">
        <v>227</v>
      </c>
      <c r="L173" s="120" t="s">
        <v>224</v>
      </c>
      <c r="M173" s="120" t="s">
        <v>224</v>
      </c>
      <c r="N173" s="120" t="s">
        <v>224</v>
      </c>
    </row>
    <row r="174" spans="1:14" ht="14.65" customHeight="1" x14ac:dyDescent="0.25">
      <c r="A174" s="113" t="s">
        <v>149</v>
      </c>
      <c r="B174" s="113" t="s">
        <v>331</v>
      </c>
      <c r="C174" s="568" t="s">
        <v>216</v>
      </c>
      <c r="D174" s="221">
        <v>5</v>
      </c>
      <c r="E174" s="115">
        <v>0</v>
      </c>
      <c r="F174" s="560">
        <v>0</v>
      </c>
      <c r="G174" s="120" t="s">
        <v>224</v>
      </c>
      <c r="H174" s="120" t="s">
        <v>227</v>
      </c>
      <c r="I174" s="120" t="s">
        <v>224</v>
      </c>
      <c r="J174" s="120" t="s">
        <v>224</v>
      </c>
      <c r="K174" s="120" t="s">
        <v>227</v>
      </c>
      <c r="L174" s="120" t="s">
        <v>224</v>
      </c>
      <c r="M174" s="120" t="s">
        <v>224</v>
      </c>
      <c r="N174" s="120" t="s">
        <v>224</v>
      </c>
    </row>
    <row r="175" spans="1:14" ht="14.65" customHeight="1" x14ac:dyDescent="0.25">
      <c r="A175" s="113" t="s">
        <v>149</v>
      </c>
      <c r="B175" s="113" t="s">
        <v>332</v>
      </c>
      <c r="C175" s="568" t="s">
        <v>216</v>
      </c>
      <c r="D175" s="200">
        <v>16</v>
      </c>
      <c r="E175" s="115">
        <v>0</v>
      </c>
      <c r="F175" s="560">
        <v>0</v>
      </c>
      <c r="G175" s="120" t="s">
        <v>224</v>
      </c>
      <c r="H175" s="120" t="s">
        <v>227</v>
      </c>
      <c r="I175" s="120" t="s">
        <v>224</v>
      </c>
      <c r="J175" s="120" t="s">
        <v>224</v>
      </c>
      <c r="K175" s="120" t="s">
        <v>227</v>
      </c>
      <c r="L175" s="120" t="s">
        <v>224</v>
      </c>
      <c r="M175" s="120" t="s">
        <v>224</v>
      </c>
      <c r="N175" s="120" t="s">
        <v>224</v>
      </c>
    </row>
    <row r="176" spans="1:14" ht="14.65" customHeight="1" x14ac:dyDescent="0.25">
      <c r="A176" s="113" t="s">
        <v>181</v>
      </c>
      <c r="B176" s="113" t="s">
        <v>532</v>
      </c>
      <c r="C176" s="568" t="s">
        <v>220</v>
      </c>
      <c r="D176" s="200">
        <v>192</v>
      </c>
      <c r="E176" s="115">
        <v>0</v>
      </c>
      <c r="F176" s="560">
        <v>0</v>
      </c>
      <c r="G176" s="687" t="s">
        <v>678</v>
      </c>
      <c r="H176" s="687" t="s">
        <v>678</v>
      </c>
      <c r="I176" s="120" t="s">
        <v>224</v>
      </c>
      <c r="J176" s="120" t="s">
        <v>227</v>
      </c>
      <c r="K176" s="120" t="s">
        <v>227</v>
      </c>
      <c r="L176" s="120" t="s">
        <v>227</v>
      </c>
      <c r="M176" s="687" t="s">
        <v>678</v>
      </c>
      <c r="N176" s="687" t="s">
        <v>678</v>
      </c>
    </row>
    <row r="177" spans="1:14" ht="14.65" customHeight="1" x14ac:dyDescent="0.25">
      <c r="A177" s="113" t="s">
        <v>181</v>
      </c>
      <c r="B177" s="113" t="s">
        <v>533</v>
      </c>
      <c r="C177" s="568" t="s">
        <v>221</v>
      </c>
      <c r="D177" s="200">
        <v>186</v>
      </c>
      <c r="E177" s="115">
        <v>2</v>
      </c>
      <c r="F177" s="560">
        <f>+D177/E177</f>
        <v>93</v>
      </c>
      <c r="G177" s="120" t="s">
        <v>224</v>
      </c>
      <c r="H177" s="120" t="s">
        <v>227</v>
      </c>
      <c r="I177" s="120" t="s">
        <v>224</v>
      </c>
      <c r="J177" s="120" t="s">
        <v>227</v>
      </c>
      <c r="K177" s="120" t="s">
        <v>227</v>
      </c>
      <c r="L177" s="120" t="s">
        <v>227</v>
      </c>
      <c r="M177" s="120" t="s">
        <v>227</v>
      </c>
      <c r="N177" s="120" t="s">
        <v>227</v>
      </c>
    </row>
    <row r="178" spans="1:14" ht="14.65" customHeight="1" x14ac:dyDescent="0.25">
      <c r="A178" s="113" t="s">
        <v>179</v>
      </c>
      <c r="B178" s="113" t="s">
        <v>251</v>
      </c>
      <c r="C178" s="568" t="s">
        <v>216</v>
      </c>
      <c r="D178" s="200">
        <v>212</v>
      </c>
      <c r="E178" s="115">
        <v>3</v>
      </c>
      <c r="F178" s="560">
        <f>+D178/E178</f>
        <v>70.666666666666671</v>
      </c>
      <c r="G178" s="120" t="s">
        <v>227</v>
      </c>
      <c r="H178" s="120" t="s">
        <v>227</v>
      </c>
      <c r="I178" s="120" t="s">
        <v>224</v>
      </c>
      <c r="J178" s="120" t="s">
        <v>227</v>
      </c>
      <c r="K178" s="120" t="s">
        <v>224</v>
      </c>
      <c r="L178" s="120" t="s">
        <v>227</v>
      </c>
      <c r="M178" s="120" t="s">
        <v>224</v>
      </c>
      <c r="N178" s="120" t="s">
        <v>224</v>
      </c>
    </row>
    <row r="179" spans="1:14" ht="14.65" customHeight="1" x14ac:dyDescent="0.25">
      <c r="A179" s="113" t="s">
        <v>183</v>
      </c>
      <c r="B179" s="113" t="s">
        <v>333</v>
      </c>
      <c r="C179" s="568" t="s">
        <v>216</v>
      </c>
      <c r="D179" s="200">
        <v>311</v>
      </c>
      <c r="E179" s="115">
        <v>6</v>
      </c>
      <c r="F179" s="117">
        <f>D179/E179</f>
        <v>51.833333333333336</v>
      </c>
      <c r="G179" s="120" t="s">
        <v>224</v>
      </c>
      <c r="H179" s="120" t="s">
        <v>227</v>
      </c>
      <c r="I179" s="120" t="s">
        <v>224</v>
      </c>
      <c r="J179" s="120" t="s">
        <v>227</v>
      </c>
      <c r="K179" s="687" t="s">
        <v>678</v>
      </c>
      <c r="L179" s="687" t="s">
        <v>678</v>
      </c>
      <c r="M179" s="687" t="s">
        <v>678</v>
      </c>
      <c r="N179" s="687" t="s">
        <v>678</v>
      </c>
    </row>
    <row r="180" spans="1:14" ht="14.65" customHeight="1" x14ac:dyDescent="0.25">
      <c r="A180" s="113" t="s">
        <v>183</v>
      </c>
      <c r="B180" s="113" t="s">
        <v>534</v>
      </c>
      <c r="C180" s="568" t="s">
        <v>216</v>
      </c>
      <c r="D180" s="200">
        <v>307</v>
      </c>
      <c r="E180" s="687" t="s">
        <v>678</v>
      </c>
      <c r="F180" s="680" t="s">
        <v>678</v>
      </c>
      <c r="G180" s="120" t="s">
        <v>224</v>
      </c>
      <c r="H180" s="120" t="s">
        <v>227</v>
      </c>
      <c r="I180" s="120" t="s">
        <v>224</v>
      </c>
      <c r="J180" s="120" t="s">
        <v>227</v>
      </c>
      <c r="K180" s="120" t="s">
        <v>224</v>
      </c>
      <c r="L180" s="120" t="s">
        <v>224</v>
      </c>
      <c r="M180" s="120" t="s">
        <v>224</v>
      </c>
      <c r="N180" s="120" t="s">
        <v>224</v>
      </c>
    </row>
    <row r="181" spans="1:14" ht="14.65" customHeight="1" x14ac:dyDescent="0.25">
      <c r="A181" s="113" t="s">
        <v>183</v>
      </c>
      <c r="B181" s="113" t="s">
        <v>196</v>
      </c>
      <c r="C181" s="568" t="s">
        <v>216</v>
      </c>
      <c r="D181" s="200">
        <v>329</v>
      </c>
      <c r="E181" s="115">
        <v>0</v>
      </c>
      <c r="F181" s="560">
        <v>0</v>
      </c>
      <c r="G181" s="120" t="s">
        <v>224</v>
      </c>
      <c r="H181" s="120" t="s">
        <v>227</v>
      </c>
      <c r="I181" s="120" t="s">
        <v>224</v>
      </c>
      <c r="J181" s="120" t="s">
        <v>227</v>
      </c>
      <c r="K181" s="687" t="s">
        <v>678</v>
      </c>
      <c r="L181" s="687" t="s">
        <v>678</v>
      </c>
      <c r="M181" s="687" t="s">
        <v>678</v>
      </c>
      <c r="N181" s="687" t="s">
        <v>678</v>
      </c>
    </row>
    <row r="182" spans="1:14" ht="14.65" customHeight="1" x14ac:dyDescent="0.25">
      <c r="A182" s="113" t="s">
        <v>257</v>
      </c>
      <c r="B182" s="113" t="s">
        <v>535</v>
      </c>
      <c r="C182" s="568" t="s">
        <v>222</v>
      </c>
      <c r="D182" s="200">
        <v>434</v>
      </c>
      <c r="E182" s="115">
        <v>2</v>
      </c>
      <c r="F182" s="117">
        <f>+D182/E182</f>
        <v>217</v>
      </c>
      <c r="G182" s="120" t="s">
        <v>224</v>
      </c>
      <c r="H182" s="120" t="s">
        <v>227</v>
      </c>
      <c r="I182" s="120" t="s">
        <v>224</v>
      </c>
      <c r="J182" s="120" t="s">
        <v>224</v>
      </c>
      <c r="K182" s="120" t="s">
        <v>227</v>
      </c>
      <c r="L182" s="120" t="s">
        <v>227</v>
      </c>
      <c r="M182" s="120" t="s">
        <v>224</v>
      </c>
      <c r="N182" s="120" t="s">
        <v>224</v>
      </c>
    </row>
    <row r="183" spans="1:14" ht="14.65" customHeight="1" x14ac:dyDescent="0.25">
      <c r="A183" s="113" t="s">
        <v>365</v>
      </c>
      <c r="B183" s="113" t="s">
        <v>334</v>
      </c>
      <c r="C183" s="568" t="s">
        <v>216</v>
      </c>
      <c r="D183" s="200">
        <v>37</v>
      </c>
      <c r="E183" s="115">
        <v>0</v>
      </c>
      <c r="F183" s="117">
        <v>0</v>
      </c>
      <c r="G183" s="120" t="s">
        <v>224</v>
      </c>
      <c r="H183" s="120" t="s">
        <v>227</v>
      </c>
      <c r="I183" s="120" t="s">
        <v>224</v>
      </c>
      <c r="J183" s="120" t="s">
        <v>224</v>
      </c>
      <c r="K183" s="120" t="s">
        <v>224</v>
      </c>
      <c r="L183" s="120" t="s">
        <v>224</v>
      </c>
      <c r="M183" s="120" t="s">
        <v>224</v>
      </c>
      <c r="N183" s="120" t="s">
        <v>224</v>
      </c>
    </row>
    <row r="184" spans="1:14" ht="14.65" customHeight="1" x14ac:dyDescent="0.25">
      <c r="A184" s="113" t="s">
        <v>365</v>
      </c>
      <c r="B184" s="113" t="s">
        <v>335</v>
      </c>
      <c r="C184" s="568" t="s">
        <v>216</v>
      </c>
      <c r="D184" s="200">
        <v>304</v>
      </c>
      <c r="E184" s="115">
        <v>0</v>
      </c>
      <c r="F184" s="117">
        <v>0</v>
      </c>
      <c r="G184" s="120" t="s">
        <v>224</v>
      </c>
      <c r="H184" s="120" t="s">
        <v>227</v>
      </c>
      <c r="I184" s="120" t="s">
        <v>224</v>
      </c>
      <c r="J184" s="120" t="s">
        <v>224</v>
      </c>
      <c r="K184" s="120" t="s">
        <v>224</v>
      </c>
      <c r="L184" s="120" t="s">
        <v>224</v>
      </c>
      <c r="M184" s="120" t="s">
        <v>224</v>
      </c>
      <c r="N184" s="120" t="s">
        <v>224</v>
      </c>
    </row>
    <row r="185" spans="1:14" ht="14.65" customHeight="1" x14ac:dyDescent="0.25">
      <c r="A185" s="113" t="s">
        <v>365</v>
      </c>
      <c r="B185" s="113" t="s">
        <v>536</v>
      </c>
      <c r="C185" s="568" t="s">
        <v>216</v>
      </c>
      <c r="D185" s="200">
        <v>390</v>
      </c>
      <c r="E185" s="115">
        <v>0</v>
      </c>
      <c r="F185" s="117">
        <v>0</v>
      </c>
      <c r="G185" s="120" t="s">
        <v>224</v>
      </c>
      <c r="H185" s="120" t="s">
        <v>227</v>
      </c>
      <c r="I185" s="120" t="s">
        <v>224</v>
      </c>
      <c r="J185" s="120" t="s">
        <v>224</v>
      </c>
      <c r="K185" s="120" t="s">
        <v>227</v>
      </c>
      <c r="L185" s="120" t="s">
        <v>224</v>
      </c>
      <c r="M185" s="120" t="s">
        <v>224</v>
      </c>
      <c r="N185" s="120" t="s">
        <v>224</v>
      </c>
    </row>
    <row r="186" spans="1:14" ht="14.65" customHeight="1" x14ac:dyDescent="0.25">
      <c r="A186" s="113" t="s">
        <v>174</v>
      </c>
      <c r="B186" s="113" t="s">
        <v>202</v>
      </c>
      <c r="C186" s="568" t="s">
        <v>219</v>
      </c>
      <c r="D186" s="200">
        <v>166</v>
      </c>
      <c r="E186" s="115">
        <v>0</v>
      </c>
      <c r="F186" s="117">
        <v>0</v>
      </c>
      <c r="G186" s="120" t="s">
        <v>224</v>
      </c>
      <c r="H186" s="120" t="s">
        <v>227</v>
      </c>
      <c r="I186" s="120" t="s">
        <v>224</v>
      </c>
      <c r="J186" s="120" t="s">
        <v>227</v>
      </c>
      <c r="K186" s="120" t="s">
        <v>227</v>
      </c>
      <c r="L186" s="120" t="s">
        <v>227</v>
      </c>
      <c r="M186" s="120" t="s">
        <v>227</v>
      </c>
      <c r="N186" s="120" t="s">
        <v>227</v>
      </c>
    </row>
    <row r="187" spans="1:14" ht="14.65" customHeight="1" x14ac:dyDescent="0.25">
      <c r="A187" s="113" t="s">
        <v>174</v>
      </c>
      <c r="B187" s="113" t="s">
        <v>173</v>
      </c>
      <c r="C187" s="568" t="s">
        <v>275</v>
      </c>
      <c r="D187" s="200">
        <v>187</v>
      </c>
      <c r="E187" s="115">
        <v>2</v>
      </c>
      <c r="F187" s="117">
        <f>D187/E187</f>
        <v>93.5</v>
      </c>
      <c r="G187" s="120" t="s">
        <v>224</v>
      </c>
      <c r="H187" s="120" t="s">
        <v>227</v>
      </c>
      <c r="I187" s="120" t="s">
        <v>224</v>
      </c>
      <c r="J187" s="120" t="s">
        <v>227</v>
      </c>
      <c r="K187" s="687" t="s">
        <v>678</v>
      </c>
      <c r="L187" s="687" t="s">
        <v>678</v>
      </c>
      <c r="M187" s="120" t="s">
        <v>227</v>
      </c>
      <c r="N187" s="120" t="s">
        <v>227</v>
      </c>
    </row>
    <row r="188" spans="1:14" ht="14.65" customHeight="1" x14ac:dyDescent="0.25">
      <c r="A188" s="113" t="s">
        <v>174</v>
      </c>
      <c r="B188" s="113" t="s">
        <v>175</v>
      </c>
      <c r="C188" s="568" t="s">
        <v>273</v>
      </c>
      <c r="D188" s="200">
        <v>164</v>
      </c>
      <c r="E188" s="115">
        <v>25</v>
      </c>
      <c r="F188" s="117">
        <f>+D188/E188</f>
        <v>6.56</v>
      </c>
      <c r="G188" s="120" t="s">
        <v>224</v>
      </c>
      <c r="H188" s="120" t="s">
        <v>227</v>
      </c>
      <c r="I188" s="120" t="s">
        <v>224</v>
      </c>
      <c r="J188" s="120" t="s">
        <v>227</v>
      </c>
      <c r="K188" s="120" t="s">
        <v>227</v>
      </c>
      <c r="L188" s="120" t="s">
        <v>227</v>
      </c>
      <c r="M188" s="120" t="s">
        <v>227</v>
      </c>
      <c r="N188" s="687" t="s">
        <v>678</v>
      </c>
    </row>
    <row r="189" spans="1:14" ht="14.65" customHeight="1" x14ac:dyDescent="0.25">
      <c r="A189" s="113" t="s">
        <v>366</v>
      </c>
      <c r="B189" s="113" t="s">
        <v>502</v>
      </c>
      <c r="C189" s="568" t="s">
        <v>216</v>
      </c>
      <c r="D189" s="200">
        <v>350</v>
      </c>
      <c r="E189" s="115">
        <v>19</v>
      </c>
      <c r="F189" s="117">
        <f>+D189/E189</f>
        <v>18.421052631578949</v>
      </c>
      <c r="G189" s="690"/>
      <c r="H189" s="120" t="s">
        <v>227</v>
      </c>
      <c r="I189" s="120" t="s">
        <v>224</v>
      </c>
      <c r="J189" s="120" t="s">
        <v>224</v>
      </c>
      <c r="K189" s="120" t="s">
        <v>227</v>
      </c>
      <c r="L189" s="120" t="s">
        <v>227</v>
      </c>
      <c r="M189" s="120" t="s">
        <v>224</v>
      </c>
      <c r="N189" s="120" t="s">
        <v>224</v>
      </c>
    </row>
    <row r="190" spans="1:14" s="136" customFormat="1" ht="14.65" customHeight="1" x14ac:dyDescent="0.25">
      <c r="A190" s="128"/>
      <c r="B190" s="129"/>
      <c r="C190" s="90" t="s">
        <v>7</v>
      </c>
      <c r="D190" s="130">
        <f>SUM(D128:D189)</f>
        <v>15601</v>
      </c>
      <c r="E190" s="130">
        <f>SUM(E128:E189)</f>
        <v>276</v>
      </c>
      <c r="F190" s="619"/>
      <c r="G190" s="134">
        <v>54</v>
      </c>
      <c r="H190" s="134">
        <v>14</v>
      </c>
      <c r="I190" s="134">
        <v>54</v>
      </c>
      <c r="J190" s="134">
        <v>34</v>
      </c>
      <c r="K190" s="134">
        <v>23</v>
      </c>
      <c r="L190" s="134">
        <v>32</v>
      </c>
      <c r="M190" s="134">
        <v>25</v>
      </c>
      <c r="N190" s="134">
        <v>28</v>
      </c>
    </row>
    <row r="191" spans="1:14" s="142" customFormat="1" ht="14.65" customHeight="1" x14ac:dyDescent="0.25">
      <c r="A191" s="137"/>
      <c r="B191" s="138"/>
      <c r="C191" s="139" t="s">
        <v>8</v>
      </c>
      <c r="D191" s="130">
        <f>AVERAGE(D128:D189)</f>
        <v>251.62903225806451</v>
      </c>
      <c r="E191" s="133">
        <f>AVERAGE(E128:E189)</f>
        <v>5.3076923076923075</v>
      </c>
      <c r="F191" s="619"/>
      <c r="G191" s="134"/>
      <c r="H191" s="134"/>
      <c r="I191" s="134"/>
      <c r="J191" s="134"/>
      <c r="K191" s="134"/>
      <c r="L191" s="134"/>
      <c r="M191" s="134"/>
      <c r="N191" s="134"/>
    </row>
    <row r="192" spans="1:14" s="142" customFormat="1" ht="14.65" customHeight="1" x14ac:dyDescent="0.25">
      <c r="A192" s="137"/>
      <c r="B192" s="138"/>
      <c r="C192" s="139" t="s">
        <v>9</v>
      </c>
      <c r="D192" s="130">
        <f>MEDIAN(D128:D189)</f>
        <v>288.5</v>
      </c>
      <c r="E192" s="133">
        <f>MEDIAN(E128:E189)</f>
        <v>1</v>
      </c>
      <c r="F192" s="133">
        <f>MEDIAN(F128:F189)</f>
        <v>3.7174999999999998</v>
      </c>
      <c r="G192" s="134"/>
      <c r="H192" s="134"/>
      <c r="I192" s="134"/>
      <c r="J192" s="134"/>
      <c r="K192" s="134"/>
      <c r="L192" s="134"/>
      <c r="M192" s="134"/>
      <c r="N192" s="134"/>
    </row>
    <row r="193" spans="1:14" s="142" customFormat="1" ht="14.65" customHeight="1" x14ac:dyDescent="0.25">
      <c r="A193" s="144"/>
      <c r="B193" s="145"/>
      <c r="C193" s="139" t="s">
        <v>30</v>
      </c>
      <c r="D193" s="146"/>
      <c r="E193" s="130"/>
      <c r="F193" s="133"/>
      <c r="G193" s="148">
        <f t="shared" ref="G193:N193" si="15">+G190/G127</f>
        <v>0.94736842105263153</v>
      </c>
      <c r="H193" s="148">
        <f t="shared" si="15"/>
        <v>0.25454545454545452</v>
      </c>
      <c r="I193" s="148">
        <f t="shared" si="15"/>
        <v>0.93103448275862066</v>
      </c>
      <c r="J193" s="148">
        <f t="shared" si="15"/>
        <v>0.6071428571428571</v>
      </c>
      <c r="K193" s="148">
        <f t="shared" si="15"/>
        <v>0.53488372093023251</v>
      </c>
      <c r="L193" s="148">
        <f t="shared" si="15"/>
        <v>0.72727272727272729</v>
      </c>
      <c r="M193" s="148">
        <f t="shared" si="15"/>
        <v>0.53191489361702127</v>
      </c>
      <c r="N193" s="148">
        <f t="shared" si="15"/>
        <v>0.7</v>
      </c>
    </row>
    <row r="194" spans="1:14" x14ac:dyDescent="0.25">
      <c r="C194" s="223"/>
    </row>
    <row r="195" spans="1:14" x14ac:dyDescent="0.25">
      <c r="C195" s="223"/>
    </row>
  </sheetData>
  <sheetProtection sheet="1" objects="1" scenarios="1"/>
  <mergeCells count="59">
    <mergeCell ref="M125:M126"/>
    <mergeCell ref="N125:N126"/>
    <mergeCell ref="A127:C127"/>
    <mergeCell ref="A110:C110"/>
    <mergeCell ref="E125:E126"/>
    <mergeCell ref="F125:F126"/>
    <mergeCell ref="G125:G126"/>
    <mergeCell ref="H125:H126"/>
    <mergeCell ref="I125:L125"/>
    <mergeCell ref="M84:M85"/>
    <mergeCell ref="N84:N85"/>
    <mergeCell ref="A86:C86"/>
    <mergeCell ref="E108:E109"/>
    <mergeCell ref="F108:F109"/>
    <mergeCell ref="G108:G109"/>
    <mergeCell ref="H108:H109"/>
    <mergeCell ref="I108:L108"/>
    <mergeCell ref="M108:M109"/>
    <mergeCell ref="N108:N109"/>
    <mergeCell ref="I84:L84"/>
    <mergeCell ref="A72:C72"/>
    <mergeCell ref="E84:E85"/>
    <mergeCell ref="F84:F85"/>
    <mergeCell ref="G84:G85"/>
    <mergeCell ref="H84:H85"/>
    <mergeCell ref="M54:M55"/>
    <mergeCell ref="N54:N55"/>
    <mergeCell ref="A56:C56"/>
    <mergeCell ref="E70:E71"/>
    <mergeCell ref="F70:F71"/>
    <mergeCell ref="G70:G71"/>
    <mergeCell ref="H70:H71"/>
    <mergeCell ref="I70:L70"/>
    <mergeCell ref="M70:M71"/>
    <mergeCell ref="N70:N71"/>
    <mergeCell ref="I54:L54"/>
    <mergeCell ref="A25:C25"/>
    <mergeCell ref="E54:E55"/>
    <mergeCell ref="F54:F55"/>
    <mergeCell ref="G54:G55"/>
    <mergeCell ref="H54:H55"/>
    <mergeCell ref="N18:N19"/>
    <mergeCell ref="A20:C20"/>
    <mergeCell ref="E23:E24"/>
    <mergeCell ref="F23:F24"/>
    <mergeCell ref="G23:G24"/>
    <mergeCell ref="H23:H24"/>
    <mergeCell ref="I23:L23"/>
    <mergeCell ref="M23:M24"/>
    <mergeCell ref="N23:N24"/>
    <mergeCell ref="F5:M5"/>
    <mergeCell ref="B14:C14"/>
    <mergeCell ref="B15:C15"/>
    <mergeCell ref="E18:E19"/>
    <mergeCell ref="F18:F19"/>
    <mergeCell ref="G18:G19"/>
    <mergeCell ref="H18:H19"/>
    <mergeCell ref="I18:L18"/>
    <mergeCell ref="M18:M1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1277B-FE84-4DDB-BF1F-350090B052B4}">
  <dimension ref="A1:K195"/>
  <sheetViews>
    <sheetView workbookViewId="0">
      <pane ySplit="20" topLeftCell="A21" activePane="bottomLeft" state="frozen"/>
      <selection activeCell="A20" sqref="A20:XFD20"/>
      <selection pane="bottomLeft" activeCell="E2" sqref="E2"/>
    </sheetView>
  </sheetViews>
  <sheetFormatPr defaultRowHeight="15" x14ac:dyDescent="0.25"/>
  <cols>
    <col min="1" max="1" width="14" style="4" customWidth="1"/>
    <col min="2" max="2" width="45.5703125" style="4" customWidth="1"/>
    <col min="3" max="3" width="9.42578125" style="4" customWidth="1"/>
    <col min="4" max="4" width="10.85546875" style="4" customWidth="1"/>
    <col min="5" max="7" width="11.140625" style="4" customWidth="1"/>
    <col min="8" max="8" width="15.140625" style="4" customWidth="1"/>
    <col min="9" max="9" width="12" style="4" customWidth="1"/>
    <col min="10" max="16384" width="9.140625" style="4"/>
  </cols>
  <sheetData>
    <row r="1" spans="1:11" s="5" customFormat="1" ht="15.75" x14ac:dyDescent="0.25">
      <c r="A1" s="2" t="s">
        <v>354</v>
      </c>
      <c r="B1" s="3"/>
      <c r="C1" s="4"/>
      <c r="D1" s="4"/>
      <c r="E1" s="4"/>
      <c r="F1" s="4"/>
      <c r="G1" s="4"/>
      <c r="H1" s="366"/>
      <c r="I1" s="280"/>
    </row>
    <row r="2" spans="1:11" s="6" customFormat="1" ht="15.75" x14ac:dyDescent="0.25">
      <c r="A2" s="2" t="s">
        <v>92</v>
      </c>
      <c r="D2" s="7"/>
      <c r="E2" s="7"/>
      <c r="F2" s="7"/>
      <c r="G2" s="7"/>
      <c r="H2" s="691"/>
      <c r="I2" s="692"/>
    </row>
    <row r="3" spans="1:11" s="1" customFormat="1" ht="12.75" x14ac:dyDescent="0.2">
      <c r="A3" s="284" t="s">
        <v>24</v>
      </c>
      <c r="D3" s="13"/>
      <c r="E3" s="13"/>
      <c r="F3" s="13"/>
      <c r="G3" s="13"/>
      <c r="H3" s="287"/>
      <c r="I3" s="692"/>
    </row>
    <row r="4" spans="1:11" s="1" customFormat="1" ht="12.75" x14ac:dyDescent="0.2">
      <c r="B4" s="6"/>
      <c r="D4" s="13"/>
      <c r="E4" s="13"/>
      <c r="F4" s="11"/>
      <c r="G4" s="13"/>
      <c r="H4" s="287"/>
      <c r="I4" s="287"/>
      <c r="J4" s="13"/>
    </row>
    <row r="5" spans="1:11" s="1" customFormat="1" ht="26.25" customHeight="1" x14ac:dyDescent="0.25">
      <c r="A5" s="14" t="s">
        <v>4</v>
      </c>
      <c r="B5" s="15"/>
      <c r="C5" s="16"/>
      <c r="D5" s="17"/>
      <c r="E5" s="20" t="s">
        <v>93</v>
      </c>
      <c r="F5" s="693"/>
      <c r="G5" s="25"/>
      <c r="H5" s="694" t="s">
        <v>94</v>
      </c>
    </row>
    <row r="6" spans="1:11" s="1" customFormat="1" ht="25.5" x14ac:dyDescent="0.2">
      <c r="B6" s="26" t="s">
        <v>6</v>
      </c>
      <c r="C6" s="27"/>
      <c r="D6" s="28"/>
      <c r="E6" s="33" t="s">
        <v>95</v>
      </c>
      <c r="F6" s="33" t="s">
        <v>96</v>
      </c>
      <c r="G6" s="33" t="s">
        <v>97</v>
      </c>
      <c r="H6" s="32"/>
    </row>
    <row r="7" spans="1:11" s="1" customFormat="1" x14ac:dyDescent="0.25">
      <c r="B7" s="34" t="s">
        <v>290</v>
      </c>
      <c r="C7" s="35"/>
      <c r="D7" s="36"/>
      <c r="E7" s="41">
        <f>E50</f>
        <v>0.77777777777777779</v>
      </c>
      <c r="F7" s="41">
        <f>F50</f>
        <v>0.22222222222222221</v>
      </c>
      <c r="G7" s="41">
        <f>G50</f>
        <v>0</v>
      </c>
      <c r="H7" s="695">
        <f>H48</f>
        <v>6.5441176470588234</v>
      </c>
    </row>
    <row r="8" spans="1:11" s="1" customFormat="1" x14ac:dyDescent="0.25">
      <c r="B8" s="34" t="s">
        <v>668</v>
      </c>
      <c r="C8" s="35"/>
      <c r="D8" s="42"/>
      <c r="E8" s="41">
        <f>E66</f>
        <v>0.83333333333333337</v>
      </c>
      <c r="F8" s="41">
        <f>F66</f>
        <v>0.16666666666666666</v>
      </c>
      <c r="G8" s="41">
        <f>G66</f>
        <v>0</v>
      </c>
      <c r="H8" s="696">
        <f>H64</f>
        <v>0.625</v>
      </c>
    </row>
    <row r="9" spans="1:11" s="1" customFormat="1" x14ac:dyDescent="0.25">
      <c r="B9" s="34" t="s">
        <v>669</v>
      </c>
      <c r="C9" s="35"/>
      <c r="D9" s="42"/>
      <c r="E9" s="41">
        <f>E80</f>
        <v>0.5</v>
      </c>
      <c r="F9" s="41">
        <f>F80</f>
        <v>0</v>
      </c>
      <c r="G9" s="41">
        <f>G80</f>
        <v>0.5</v>
      </c>
      <c r="H9" s="697">
        <f>H78</f>
        <v>5.125</v>
      </c>
    </row>
    <row r="10" spans="1:11" s="1" customFormat="1" x14ac:dyDescent="0.25">
      <c r="B10" s="34" t="s">
        <v>673</v>
      </c>
      <c r="C10" s="35"/>
      <c r="D10" s="42"/>
      <c r="E10" s="41">
        <f>E104</f>
        <v>0.66666666666666663</v>
      </c>
      <c r="F10" s="41">
        <f>F104</f>
        <v>0.33333333333333331</v>
      </c>
      <c r="G10" s="41">
        <f>G104</f>
        <v>0</v>
      </c>
      <c r="H10" s="697">
        <f>H102</f>
        <v>5.791666666666667</v>
      </c>
    </row>
    <row r="11" spans="1:11" s="1" customFormat="1" x14ac:dyDescent="0.25">
      <c r="B11" s="34" t="s">
        <v>671</v>
      </c>
      <c r="C11" s="35"/>
      <c r="D11" s="42"/>
      <c r="E11" s="41">
        <f>E121</f>
        <v>0</v>
      </c>
      <c r="F11" s="41">
        <f>F121</f>
        <v>0</v>
      </c>
      <c r="G11" s="41">
        <f>G121</f>
        <v>1</v>
      </c>
      <c r="H11" s="697">
        <f>H119</f>
        <v>9.1999999999999993</v>
      </c>
    </row>
    <row r="12" spans="1:11" s="1" customFormat="1" x14ac:dyDescent="0.25">
      <c r="B12" s="34" t="s">
        <v>672</v>
      </c>
      <c r="C12" s="35"/>
      <c r="D12" s="42"/>
      <c r="E12" s="41">
        <f>E193</f>
        <v>1.8181818181818181E-2</v>
      </c>
      <c r="F12" s="41">
        <f>F193</f>
        <v>5.4545454545454543E-2</v>
      </c>
      <c r="G12" s="41">
        <f>G193</f>
        <v>0.92727272727272725</v>
      </c>
      <c r="H12" s="697">
        <f>H191</f>
        <v>9.6928571428571413</v>
      </c>
    </row>
    <row r="13" spans="1:11" s="1" customFormat="1" ht="12.75" x14ac:dyDescent="0.2">
      <c r="B13" s="43" t="s">
        <v>674</v>
      </c>
      <c r="C13" s="44"/>
      <c r="D13" s="45"/>
      <c r="E13" s="49">
        <f>+E14/E20</f>
        <v>0.3</v>
      </c>
      <c r="F13" s="49">
        <f>+F14/F20</f>
        <v>0.12</v>
      </c>
      <c r="G13" s="49">
        <f>+G14/G20</f>
        <v>0.57999999999999996</v>
      </c>
      <c r="H13" s="698">
        <v>8.0869999999999997</v>
      </c>
    </row>
    <row r="14" spans="1:11" s="1" customFormat="1" x14ac:dyDescent="0.25">
      <c r="B14" s="699" t="s">
        <v>83</v>
      </c>
      <c r="C14" s="700"/>
      <c r="D14" s="701"/>
      <c r="E14" s="702">
        <f>SUM(E47,E63,E77,E101,E118,E190)</f>
        <v>30</v>
      </c>
      <c r="F14" s="702">
        <f>SUM(F47,F63,F77,F101,F118,F190)</f>
        <v>12</v>
      </c>
      <c r="G14" s="702">
        <f>SUM(G47,G63,G77,G101,G118,G190)</f>
        <v>58</v>
      </c>
      <c r="H14" s="703"/>
      <c r="I14" s="704"/>
      <c r="J14" s="88"/>
      <c r="K14" s="88"/>
    </row>
    <row r="15" spans="1:11" s="1" customFormat="1" ht="12.75" x14ac:dyDescent="0.2">
      <c r="H15" s="287"/>
      <c r="I15" s="287"/>
    </row>
    <row r="16" spans="1:11" s="1" customFormat="1" ht="12.75" x14ac:dyDescent="0.2">
      <c r="B16" s="87"/>
      <c r="C16" s="88"/>
      <c r="D16" s="88"/>
      <c r="H16" s="287"/>
      <c r="I16" s="287"/>
    </row>
    <row r="17" spans="1:9" s="1" customFormat="1" ht="12.75" x14ac:dyDescent="0.2">
      <c r="A17" s="14" t="s">
        <v>10</v>
      </c>
      <c r="B17" s="87"/>
      <c r="C17" s="88"/>
      <c r="D17" s="88"/>
      <c r="H17" s="287"/>
      <c r="I17" s="287"/>
    </row>
    <row r="18" spans="1:9" s="74" customFormat="1" ht="24.75" customHeight="1" x14ac:dyDescent="0.2">
      <c r="A18" s="705"/>
      <c r="B18" s="706"/>
      <c r="C18" s="706"/>
      <c r="D18" s="707"/>
      <c r="E18" s="708" t="s">
        <v>98</v>
      </c>
      <c r="F18" s="709"/>
      <c r="G18" s="709"/>
      <c r="H18" s="710" t="s">
        <v>99</v>
      </c>
    </row>
    <row r="19" spans="1:9" s="74" customFormat="1" ht="25.5" x14ac:dyDescent="0.2">
      <c r="A19" s="711" t="s">
        <v>11</v>
      </c>
      <c r="B19" s="711" t="s">
        <v>12</v>
      </c>
      <c r="C19" s="711" t="s">
        <v>2</v>
      </c>
      <c r="D19" s="712" t="s">
        <v>5</v>
      </c>
      <c r="E19" s="82" t="s">
        <v>95</v>
      </c>
      <c r="F19" s="82" t="s">
        <v>96</v>
      </c>
      <c r="G19" s="82" t="s">
        <v>97</v>
      </c>
      <c r="H19" s="713"/>
    </row>
    <row r="20" spans="1:9" s="74" customFormat="1" x14ac:dyDescent="0.25">
      <c r="A20" s="83" t="s">
        <v>56</v>
      </c>
      <c r="B20" s="84"/>
      <c r="C20" s="168"/>
      <c r="D20" s="714">
        <f>+D25+D56+D72+D86+D110+D127</f>
        <v>114</v>
      </c>
      <c r="E20" s="714">
        <f>+E25+E56+E72+E86+E110+E127</f>
        <v>100</v>
      </c>
      <c r="F20" s="714">
        <f>+F25+F56+F72+F86+F110+F127</f>
        <v>100</v>
      </c>
      <c r="G20" s="714">
        <f>+G25+G56+G72+G86+G110+G127</f>
        <v>100</v>
      </c>
      <c r="H20" s="714">
        <f>+H25+H56+H72+H86+H110+H127</f>
        <v>98</v>
      </c>
    </row>
    <row r="21" spans="1:9" s="1" customFormat="1" ht="12.75" x14ac:dyDescent="0.2">
      <c r="D21" s="13"/>
      <c r="E21" s="13"/>
      <c r="F21" s="13"/>
      <c r="G21" s="13"/>
      <c r="H21" s="13"/>
      <c r="I21" s="13"/>
    </row>
    <row r="22" spans="1:9" s="161" customFormat="1" ht="15" customHeight="1" x14ac:dyDescent="0.2">
      <c r="A22" s="154" t="s">
        <v>290</v>
      </c>
      <c r="B22" s="246"/>
      <c r="C22" s="246"/>
      <c r="D22" s="247"/>
      <c r="E22" s="715"/>
      <c r="F22" s="715"/>
      <c r="G22" s="715"/>
      <c r="H22" s="716"/>
    </row>
    <row r="23" spans="1:9" s="74" customFormat="1" ht="27.75" customHeight="1" x14ac:dyDescent="0.2">
      <c r="A23" s="717"/>
      <c r="B23" s="718"/>
      <c r="C23" s="718"/>
      <c r="D23" s="197"/>
      <c r="E23" s="20" t="s">
        <v>98</v>
      </c>
      <c r="F23" s="719"/>
      <c r="G23" s="720"/>
      <c r="H23" s="721" t="s">
        <v>99</v>
      </c>
    </row>
    <row r="24" spans="1:9" s="74" customFormat="1" ht="25.5" x14ac:dyDescent="0.2">
      <c r="A24" s="196" t="s">
        <v>11</v>
      </c>
      <c r="B24" s="196" t="s">
        <v>12</v>
      </c>
      <c r="C24" s="196" t="s">
        <v>2</v>
      </c>
      <c r="D24" s="722" t="s">
        <v>5</v>
      </c>
      <c r="E24" s="33" t="s">
        <v>95</v>
      </c>
      <c r="F24" s="33" t="s">
        <v>96</v>
      </c>
      <c r="G24" s="33" t="s">
        <v>97</v>
      </c>
      <c r="H24" s="32"/>
    </row>
    <row r="25" spans="1:9" s="74" customFormat="1" x14ac:dyDescent="0.25">
      <c r="A25" s="167" t="s">
        <v>56</v>
      </c>
      <c r="B25" s="84"/>
      <c r="C25" s="168"/>
      <c r="D25" s="169">
        <v>21</v>
      </c>
      <c r="E25" s="169">
        <v>18</v>
      </c>
      <c r="F25" s="169">
        <v>18</v>
      </c>
      <c r="G25" s="169">
        <v>18</v>
      </c>
      <c r="H25" s="169">
        <v>17</v>
      </c>
    </row>
    <row r="26" spans="1:9" x14ac:dyDescent="0.25">
      <c r="A26" s="170" t="s">
        <v>361</v>
      </c>
      <c r="B26" s="170" t="s">
        <v>253</v>
      </c>
      <c r="C26" s="464" t="s">
        <v>209</v>
      </c>
      <c r="D26" s="115">
        <v>1092</v>
      </c>
      <c r="E26" s="175" t="s">
        <v>224</v>
      </c>
      <c r="F26" s="175" t="s">
        <v>227</v>
      </c>
      <c r="G26" s="276"/>
      <c r="H26" s="723">
        <v>2</v>
      </c>
    </row>
    <row r="27" spans="1:9" x14ac:dyDescent="0.25">
      <c r="A27" s="170" t="s">
        <v>163</v>
      </c>
      <c r="B27" s="170" t="s">
        <v>162</v>
      </c>
      <c r="C27" s="464" t="s">
        <v>209</v>
      </c>
      <c r="D27" s="115">
        <v>220</v>
      </c>
      <c r="E27" s="175" t="s">
        <v>224</v>
      </c>
      <c r="F27" s="175" t="s">
        <v>227</v>
      </c>
      <c r="G27" s="274"/>
      <c r="H27" s="723">
        <v>0.5</v>
      </c>
    </row>
    <row r="28" spans="1:9" x14ac:dyDescent="0.25">
      <c r="A28" s="170" t="s">
        <v>156</v>
      </c>
      <c r="B28" s="170" t="s">
        <v>236</v>
      </c>
      <c r="C28" s="464" t="s">
        <v>209</v>
      </c>
      <c r="D28" s="115">
        <v>153</v>
      </c>
      <c r="E28" s="175" t="s">
        <v>227</v>
      </c>
      <c r="F28" s="175" t="s">
        <v>224</v>
      </c>
      <c r="G28" s="274"/>
      <c r="H28" s="723">
        <v>5</v>
      </c>
    </row>
    <row r="29" spans="1:9" x14ac:dyDescent="0.25">
      <c r="A29" s="170" t="s">
        <v>362</v>
      </c>
      <c r="B29" s="170" t="s">
        <v>145</v>
      </c>
      <c r="C29" s="464" t="s">
        <v>209</v>
      </c>
      <c r="D29" s="115">
        <v>1152</v>
      </c>
      <c r="E29" s="175" t="s">
        <v>224</v>
      </c>
      <c r="F29" s="175" t="s">
        <v>227</v>
      </c>
      <c r="G29" s="274"/>
      <c r="H29" s="723">
        <v>10</v>
      </c>
    </row>
    <row r="30" spans="1:9" x14ac:dyDescent="0.25">
      <c r="A30" s="170" t="s">
        <v>362</v>
      </c>
      <c r="B30" s="170" t="s">
        <v>176</v>
      </c>
      <c r="C30" s="464" t="s">
        <v>209</v>
      </c>
      <c r="D30" s="115">
        <v>147</v>
      </c>
      <c r="E30" s="175" t="s">
        <v>224</v>
      </c>
      <c r="F30" s="175" t="s">
        <v>227</v>
      </c>
      <c r="G30" s="274"/>
      <c r="H30" s="723">
        <v>6</v>
      </c>
    </row>
    <row r="31" spans="1:9" x14ac:dyDescent="0.25">
      <c r="A31" s="170" t="s">
        <v>363</v>
      </c>
      <c r="B31" s="170" t="s">
        <v>355</v>
      </c>
      <c r="C31" s="464" t="s">
        <v>209</v>
      </c>
      <c r="D31" s="115">
        <v>422</v>
      </c>
      <c r="E31" s="175" t="s">
        <v>227</v>
      </c>
      <c r="F31" s="175" t="s">
        <v>224</v>
      </c>
      <c r="G31" s="274"/>
      <c r="H31" s="723">
        <v>0</v>
      </c>
    </row>
    <row r="32" spans="1:9" x14ac:dyDescent="0.25">
      <c r="A32" s="170" t="s">
        <v>148</v>
      </c>
      <c r="B32" s="170" t="s">
        <v>152</v>
      </c>
      <c r="C32" s="464" t="s">
        <v>209</v>
      </c>
      <c r="D32" s="115">
        <v>1557</v>
      </c>
      <c r="E32" s="175" t="s">
        <v>224</v>
      </c>
      <c r="F32" s="175" t="s">
        <v>227</v>
      </c>
      <c r="G32" s="274"/>
      <c r="H32" s="723">
        <v>18</v>
      </c>
    </row>
    <row r="33" spans="1:9" x14ac:dyDescent="0.25">
      <c r="A33" s="170" t="s">
        <v>148</v>
      </c>
      <c r="B33" s="170" t="s">
        <v>170</v>
      </c>
      <c r="C33" s="464" t="s">
        <v>209</v>
      </c>
      <c r="D33" s="115">
        <v>1228</v>
      </c>
      <c r="E33" s="175" t="s">
        <v>224</v>
      </c>
      <c r="F33" s="175" t="s">
        <v>227</v>
      </c>
      <c r="G33" s="276"/>
      <c r="H33" s="723">
        <v>15</v>
      </c>
    </row>
    <row r="34" spans="1:9" x14ac:dyDescent="0.25">
      <c r="A34" s="170" t="s">
        <v>148</v>
      </c>
      <c r="B34" s="170" t="s">
        <v>291</v>
      </c>
      <c r="C34" s="464" t="s">
        <v>209</v>
      </c>
      <c r="D34" s="115">
        <v>175</v>
      </c>
      <c r="E34" s="175" t="s">
        <v>227</v>
      </c>
      <c r="F34" s="175" t="s">
        <v>224</v>
      </c>
      <c r="G34" s="276"/>
      <c r="H34" s="723">
        <v>5.5</v>
      </c>
    </row>
    <row r="35" spans="1:9" x14ac:dyDescent="0.25">
      <c r="A35" s="170" t="s">
        <v>178</v>
      </c>
      <c r="B35" s="170" t="s">
        <v>206</v>
      </c>
      <c r="C35" s="464" t="s">
        <v>209</v>
      </c>
      <c r="D35" s="115">
        <v>862</v>
      </c>
      <c r="E35" s="175" t="s">
        <v>224</v>
      </c>
      <c r="F35" s="175" t="s">
        <v>227</v>
      </c>
      <c r="G35" s="276"/>
      <c r="H35" s="723">
        <v>0.75</v>
      </c>
    </row>
    <row r="36" spans="1:9" x14ac:dyDescent="0.25">
      <c r="A36" s="170" t="s">
        <v>364</v>
      </c>
      <c r="B36" s="170" t="s">
        <v>356</v>
      </c>
      <c r="C36" s="464" t="s">
        <v>209</v>
      </c>
      <c r="D36" s="115">
        <v>2017</v>
      </c>
      <c r="E36" s="175" t="s">
        <v>224</v>
      </c>
      <c r="F36" s="175" t="s">
        <v>227</v>
      </c>
      <c r="G36" s="276"/>
      <c r="H36" s="723">
        <v>5</v>
      </c>
    </row>
    <row r="37" spans="1:9" x14ac:dyDescent="0.25">
      <c r="A37" s="170" t="s">
        <v>364</v>
      </c>
      <c r="B37" s="170" t="s">
        <v>237</v>
      </c>
      <c r="C37" s="464" t="s">
        <v>209</v>
      </c>
      <c r="D37" s="115">
        <v>235</v>
      </c>
      <c r="E37" s="475" t="s">
        <v>233</v>
      </c>
      <c r="F37" s="475" t="s">
        <v>233</v>
      </c>
      <c r="G37" s="494" t="s">
        <v>233</v>
      </c>
      <c r="H37" s="724" t="s">
        <v>233</v>
      </c>
    </row>
    <row r="38" spans="1:9" x14ac:dyDescent="0.25">
      <c r="A38" s="170" t="s">
        <v>149</v>
      </c>
      <c r="B38" s="170" t="s">
        <v>238</v>
      </c>
      <c r="C38" s="464" t="s">
        <v>209</v>
      </c>
      <c r="D38" s="115">
        <v>612</v>
      </c>
      <c r="E38" s="175" t="s">
        <v>224</v>
      </c>
      <c r="F38" s="175" t="s">
        <v>227</v>
      </c>
      <c r="G38" s="276"/>
      <c r="H38" s="723">
        <v>1</v>
      </c>
    </row>
    <row r="39" spans="1:9" x14ac:dyDescent="0.25">
      <c r="A39" s="170" t="s">
        <v>181</v>
      </c>
      <c r="B39" s="170" t="s">
        <v>208</v>
      </c>
      <c r="C39" s="464" t="s">
        <v>209</v>
      </c>
      <c r="D39" s="115">
        <v>274</v>
      </c>
      <c r="E39" s="175" t="s">
        <v>227</v>
      </c>
      <c r="F39" s="175" t="s">
        <v>224</v>
      </c>
      <c r="G39" s="276"/>
      <c r="H39" s="725" t="s">
        <v>233</v>
      </c>
    </row>
    <row r="40" spans="1:9" x14ac:dyDescent="0.25">
      <c r="A40" s="170" t="s">
        <v>143</v>
      </c>
      <c r="B40" s="170" t="s">
        <v>142</v>
      </c>
      <c r="C40" s="464" t="s">
        <v>209</v>
      </c>
      <c r="D40" s="115">
        <v>151</v>
      </c>
      <c r="E40" s="175" t="s">
        <v>224</v>
      </c>
      <c r="F40" s="175" t="s">
        <v>227</v>
      </c>
      <c r="G40" s="276" t="s">
        <v>227</v>
      </c>
      <c r="H40" s="723">
        <v>0</v>
      </c>
    </row>
    <row r="41" spans="1:9" x14ac:dyDescent="0.25">
      <c r="A41" s="170" t="s">
        <v>365</v>
      </c>
      <c r="B41" s="170" t="s">
        <v>158</v>
      </c>
      <c r="C41" s="464" t="s">
        <v>209</v>
      </c>
      <c r="D41" s="115">
        <v>794</v>
      </c>
      <c r="E41" s="175" t="s">
        <v>224</v>
      </c>
      <c r="F41" s="175" t="s">
        <v>227</v>
      </c>
      <c r="G41" s="276"/>
      <c r="H41" s="723">
        <v>30</v>
      </c>
    </row>
    <row r="42" spans="1:9" x14ac:dyDescent="0.25">
      <c r="A42" s="170" t="s">
        <v>365</v>
      </c>
      <c r="B42" s="170" t="s">
        <v>357</v>
      </c>
      <c r="C42" s="464" t="s">
        <v>209</v>
      </c>
      <c r="D42" s="115">
        <v>46</v>
      </c>
      <c r="E42" s="475" t="s">
        <v>233</v>
      </c>
      <c r="F42" s="475" t="s">
        <v>233</v>
      </c>
      <c r="G42" s="494" t="s">
        <v>233</v>
      </c>
      <c r="H42" s="724" t="s">
        <v>233</v>
      </c>
    </row>
    <row r="43" spans="1:9" x14ac:dyDescent="0.25">
      <c r="A43" s="170" t="s">
        <v>153</v>
      </c>
      <c r="B43" s="170" t="s">
        <v>235</v>
      </c>
      <c r="C43" s="464" t="s">
        <v>209</v>
      </c>
      <c r="D43" s="115">
        <v>774</v>
      </c>
      <c r="E43" s="175" t="s">
        <v>224</v>
      </c>
      <c r="F43" s="175" t="s">
        <v>227</v>
      </c>
      <c r="G43" s="276"/>
      <c r="H43" s="723">
        <v>0</v>
      </c>
    </row>
    <row r="44" spans="1:9" x14ac:dyDescent="0.25">
      <c r="A44" s="170" t="s">
        <v>198</v>
      </c>
      <c r="B44" s="170" t="s">
        <v>358</v>
      </c>
      <c r="C44" s="464" t="s">
        <v>209</v>
      </c>
      <c r="D44" s="115">
        <v>230</v>
      </c>
      <c r="E44" s="219" t="s">
        <v>233</v>
      </c>
      <c r="F44" s="219" t="s">
        <v>233</v>
      </c>
      <c r="G44" s="494" t="s">
        <v>233</v>
      </c>
      <c r="H44" s="725" t="s">
        <v>233</v>
      </c>
    </row>
    <row r="45" spans="1:9" x14ac:dyDescent="0.25">
      <c r="A45" s="170" t="s">
        <v>174</v>
      </c>
      <c r="B45" s="170" t="s">
        <v>359</v>
      </c>
      <c r="C45" s="726" t="s">
        <v>209</v>
      </c>
      <c r="D45" s="115">
        <v>405</v>
      </c>
      <c r="E45" s="175" t="s">
        <v>224</v>
      </c>
      <c r="F45" s="175" t="s">
        <v>227</v>
      </c>
      <c r="G45" s="276"/>
      <c r="H45" s="723">
        <v>0.5</v>
      </c>
    </row>
    <row r="46" spans="1:9" x14ac:dyDescent="0.25">
      <c r="A46" s="170" t="s">
        <v>366</v>
      </c>
      <c r="B46" s="170" t="s">
        <v>360</v>
      </c>
      <c r="C46" s="726" t="s">
        <v>209</v>
      </c>
      <c r="D46" s="115">
        <v>237</v>
      </c>
      <c r="E46" s="175" t="s">
        <v>224</v>
      </c>
      <c r="F46" s="175" t="s">
        <v>227</v>
      </c>
      <c r="G46" s="276"/>
      <c r="H46" s="723">
        <v>12</v>
      </c>
    </row>
    <row r="47" spans="1:9" s="142" customFormat="1" x14ac:dyDescent="0.25">
      <c r="A47" s="179"/>
      <c r="B47" s="180"/>
      <c r="C47" s="205" t="s">
        <v>7</v>
      </c>
      <c r="D47" s="182">
        <f>SUM(D26:D46)</f>
        <v>12783</v>
      </c>
      <c r="E47" s="185">
        <v>14</v>
      </c>
      <c r="F47" s="185">
        <v>4</v>
      </c>
      <c r="G47" s="185">
        <v>0</v>
      </c>
      <c r="H47" s="183">
        <f>SUM(H26:H46)</f>
        <v>111.25</v>
      </c>
      <c r="I47" s="4"/>
    </row>
    <row r="48" spans="1:9" s="142" customFormat="1" x14ac:dyDescent="0.25">
      <c r="A48" s="186"/>
      <c r="B48" s="187"/>
      <c r="C48" s="188" t="s">
        <v>8</v>
      </c>
      <c r="D48" s="182">
        <f>AVERAGE(D26:D46)</f>
        <v>608.71428571428567</v>
      </c>
      <c r="E48" s="185"/>
      <c r="F48" s="185"/>
      <c r="G48" s="185"/>
      <c r="H48" s="727">
        <f>AVERAGE(H26:H46)</f>
        <v>6.5441176470588234</v>
      </c>
      <c r="I48" s="4"/>
    </row>
    <row r="49" spans="1:9" s="142" customFormat="1" x14ac:dyDescent="0.25">
      <c r="A49" s="186"/>
      <c r="B49" s="187"/>
      <c r="C49" s="188" t="s">
        <v>9</v>
      </c>
      <c r="D49" s="182">
        <f>MEDIAN(D26:D46)</f>
        <v>405</v>
      </c>
      <c r="E49" s="185"/>
      <c r="F49" s="185"/>
      <c r="G49" s="185"/>
      <c r="H49" s="727">
        <f>MEDIAN(H26:H46)</f>
        <v>5</v>
      </c>
      <c r="I49" s="4"/>
    </row>
    <row r="50" spans="1:9" x14ac:dyDescent="0.25">
      <c r="A50" s="191"/>
      <c r="B50" s="192"/>
      <c r="C50" s="188" t="s">
        <v>30</v>
      </c>
      <c r="D50" s="193"/>
      <c r="E50" s="195">
        <f>+E47/E25</f>
        <v>0.77777777777777779</v>
      </c>
      <c r="F50" s="195">
        <f>+F47/F25</f>
        <v>0.22222222222222221</v>
      </c>
      <c r="G50" s="195">
        <f>G47/G25</f>
        <v>0</v>
      </c>
      <c r="H50" s="727"/>
    </row>
    <row r="51" spans="1:9" x14ac:dyDescent="0.25">
      <c r="B51" s="150"/>
      <c r="C51" s="151"/>
    </row>
    <row r="52" spans="1:9" x14ac:dyDescent="0.25">
      <c r="B52" s="150"/>
      <c r="C52" s="151"/>
    </row>
    <row r="53" spans="1:9" s="161" customFormat="1" ht="15" customHeight="1" x14ac:dyDescent="0.2">
      <c r="A53" s="154" t="s">
        <v>668</v>
      </c>
      <c r="B53" s="246"/>
      <c r="C53" s="246"/>
      <c r="D53" s="247"/>
      <c r="E53" s="715"/>
      <c r="F53" s="715"/>
      <c r="G53" s="715"/>
      <c r="H53" s="716"/>
    </row>
    <row r="54" spans="1:9" s="74" customFormat="1" ht="27.75" customHeight="1" x14ac:dyDescent="0.2">
      <c r="A54" s="717"/>
      <c r="B54" s="718"/>
      <c r="C54" s="718"/>
      <c r="D54" s="197"/>
      <c r="E54" s="20" t="s">
        <v>98</v>
      </c>
      <c r="F54" s="719"/>
      <c r="G54" s="720"/>
      <c r="H54" s="721" t="s">
        <v>99</v>
      </c>
    </row>
    <row r="55" spans="1:9" s="74" customFormat="1" ht="25.5" x14ac:dyDescent="0.2">
      <c r="A55" s="196" t="s">
        <v>11</v>
      </c>
      <c r="B55" s="196" t="s">
        <v>12</v>
      </c>
      <c r="C55" s="196" t="s">
        <v>2</v>
      </c>
      <c r="D55" s="722" t="s">
        <v>5</v>
      </c>
      <c r="E55" s="33" t="s">
        <v>95</v>
      </c>
      <c r="F55" s="33" t="s">
        <v>96</v>
      </c>
      <c r="G55" s="33" t="s">
        <v>97</v>
      </c>
      <c r="H55" s="32"/>
    </row>
    <row r="56" spans="1:9" s="74" customFormat="1" x14ac:dyDescent="0.25">
      <c r="A56" s="167" t="s">
        <v>56</v>
      </c>
      <c r="B56" s="84"/>
      <c r="C56" s="168"/>
      <c r="D56" s="169">
        <v>6</v>
      </c>
      <c r="E56" s="169">
        <v>6</v>
      </c>
      <c r="F56" s="169">
        <v>6</v>
      </c>
      <c r="G56" s="169">
        <v>6</v>
      </c>
      <c r="H56" s="169">
        <v>4</v>
      </c>
    </row>
    <row r="57" spans="1:9" x14ac:dyDescent="0.25">
      <c r="A57" s="170" t="s">
        <v>362</v>
      </c>
      <c r="B57" s="170" t="s">
        <v>306</v>
      </c>
      <c r="C57" s="171" t="s">
        <v>210</v>
      </c>
      <c r="D57" s="115">
        <v>194</v>
      </c>
      <c r="E57" s="175" t="s">
        <v>224</v>
      </c>
      <c r="F57" s="276"/>
      <c r="G57" s="728"/>
      <c r="H57" s="723">
        <v>0.5</v>
      </c>
    </row>
    <row r="58" spans="1:9" x14ac:dyDescent="0.25">
      <c r="A58" s="170" t="s">
        <v>178</v>
      </c>
      <c r="B58" s="170" t="s">
        <v>413</v>
      </c>
      <c r="C58" s="171" t="s">
        <v>210</v>
      </c>
      <c r="D58" s="115">
        <v>106</v>
      </c>
      <c r="E58" s="175" t="s">
        <v>224</v>
      </c>
      <c r="F58" s="276" t="s">
        <v>227</v>
      </c>
      <c r="G58" s="276"/>
      <c r="H58" s="723">
        <v>2</v>
      </c>
    </row>
    <row r="59" spans="1:9" x14ac:dyDescent="0.25">
      <c r="A59" s="170" t="s">
        <v>417</v>
      </c>
      <c r="B59" s="170" t="s">
        <v>414</v>
      </c>
      <c r="C59" s="171" t="s">
        <v>210</v>
      </c>
      <c r="D59" s="115">
        <v>182</v>
      </c>
      <c r="E59" s="175" t="s">
        <v>224</v>
      </c>
      <c r="F59" s="276"/>
      <c r="G59" s="728"/>
      <c r="H59" s="725" t="s">
        <v>233</v>
      </c>
    </row>
    <row r="60" spans="1:9" x14ac:dyDescent="0.25">
      <c r="A60" s="170" t="s">
        <v>157</v>
      </c>
      <c r="B60" s="170" t="s">
        <v>415</v>
      </c>
      <c r="C60" s="171" t="s">
        <v>210</v>
      </c>
      <c r="D60" s="115">
        <v>83</v>
      </c>
      <c r="E60" s="175" t="s">
        <v>224</v>
      </c>
      <c r="F60" s="276"/>
      <c r="G60" s="728"/>
      <c r="H60" s="725" t="s">
        <v>233</v>
      </c>
    </row>
    <row r="61" spans="1:9" x14ac:dyDescent="0.25">
      <c r="A61" s="170" t="s">
        <v>418</v>
      </c>
      <c r="B61" s="170" t="s">
        <v>416</v>
      </c>
      <c r="C61" s="171" t="s">
        <v>211</v>
      </c>
      <c r="D61" s="115">
        <v>212</v>
      </c>
      <c r="E61" s="175" t="s">
        <v>227</v>
      </c>
      <c r="F61" s="274" t="s">
        <v>224</v>
      </c>
      <c r="G61" s="199"/>
      <c r="H61" s="723">
        <v>0</v>
      </c>
    </row>
    <row r="62" spans="1:9" x14ac:dyDescent="0.25">
      <c r="A62" s="170" t="s">
        <v>179</v>
      </c>
      <c r="B62" s="170" t="s">
        <v>412</v>
      </c>
      <c r="C62" s="171" t="s">
        <v>211</v>
      </c>
      <c r="D62" s="115">
        <v>280</v>
      </c>
      <c r="E62" s="175" t="s">
        <v>224</v>
      </c>
      <c r="F62" s="274"/>
      <c r="G62" s="199"/>
      <c r="H62" s="723">
        <v>0</v>
      </c>
    </row>
    <row r="63" spans="1:9" s="136" customFormat="1" x14ac:dyDescent="0.25">
      <c r="A63" s="179"/>
      <c r="B63" s="180"/>
      <c r="C63" s="181" t="s">
        <v>7</v>
      </c>
      <c r="D63" s="182">
        <f>SUM(D57:D62)</f>
        <v>1057</v>
      </c>
      <c r="E63" s="185">
        <v>5</v>
      </c>
      <c r="F63" s="185">
        <v>1</v>
      </c>
      <c r="G63" s="185">
        <v>0</v>
      </c>
      <c r="H63" s="183">
        <f>SUM(H57:H62)</f>
        <v>2.5</v>
      </c>
      <c r="I63" s="4"/>
    </row>
    <row r="64" spans="1:9" s="142" customFormat="1" x14ac:dyDescent="0.25">
      <c r="A64" s="186"/>
      <c r="B64" s="187"/>
      <c r="C64" s="188" t="s">
        <v>8</v>
      </c>
      <c r="D64" s="182">
        <f>AVERAGE(D57:D62)</f>
        <v>176.16666666666666</v>
      </c>
      <c r="E64" s="185" t="s">
        <v>227</v>
      </c>
      <c r="F64" s="185" t="s">
        <v>227</v>
      </c>
      <c r="G64" s="185"/>
      <c r="H64" s="727">
        <f>AVERAGE(H57:H62)</f>
        <v>0.625</v>
      </c>
      <c r="I64" s="4"/>
    </row>
    <row r="65" spans="1:9" s="142" customFormat="1" x14ac:dyDescent="0.25">
      <c r="A65" s="186"/>
      <c r="B65" s="187"/>
      <c r="C65" s="188" t="s">
        <v>9</v>
      </c>
      <c r="D65" s="182">
        <f>MEDIAN(D57:D62)</f>
        <v>188</v>
      </c>
      <c r="E65" s="185"/>
      <c r="F65" s="185"/>
      <c r="G65" s="185"/>
      <c r="H65" s="727">
        <f>MEDIAN(H57:H62)</f>
        <v>0.25</v>
      </c>
      <c r="I65" s="4"/>
    </row>
    <row r="66" spans="1:9" s="142" customFormat="1" x14ac:dyDescent="0.25">
      <c r="A66" s="191"/>
      <c r="B66" s="192"/>
      <c r="C66" s="188" t="s">
        <v>30</v>
      </c>
      <c r="D66" s="193"/>
      <c r="E66" s="195">
        <f>+E63/E56</f>
        <v>0.83333333333333337</v>
      </c>
      <c r="F66" s="195">
        <f>F63/F56</f>
        <v>0.16666666666666666</v>
      </c>
      <c r="G66" s="195">
        <f>G63/G56</f>
        <v>0</v>
      </c>
      <c r="H66" s="727"/>
      <c r="I66" s="4"/>
    </row>
    <row r="67" spans="1:9" x14ac:dyDescent="0.25">
      <c r="B67" s="150"/>
      <c r="C67" s="151"/>
    </row>
    <row r="68" spans="1:9" x14ac:dyDescent="0.25">
      <c r="B68" s="150"/>
      <c r="C68" s="151"/>
    </row>
    <row r="69" spans="1:9" s="161" customFormat="1" ht="15" customHeight="1" x14ac:dyDescent="0.2">
      <c r="A69" s="154" t="s">
        <v>669</v>
      </c>
      <c r="B69" s="246"/>
      <c r="C69" s="246"/>
      <c r="D69" s="247"/>
      <c r="E69" s="715"/>
      <c r="F69" s="715"/>
      <c r="G69" s="715"/>
      <c r="H69" s="716"/>
    </row>
    <row r="70" spans="1:9" s="74" customFormat="1" ht="27.75" customHeight="1" x14ac:dyDescent="0.2">
      <c r="A70" s="717"/>
      <c r="B70" s="718"/>
      <c r="C70" s="718"/>
      <c r="D70" s="197"/>
      <c r="E70" s="20" t="s">
        <v>98</v>
      </c>
      <c r="F70" s="719"/>
      <c r="G70" s="720"/>
      <c r="H70" s="721" t="s">
        <v>99</v>
      </c>
    </row>
    <row r="71" spans="1:9" s="74" customFormat="1" ht="25.5" x14ac:dyDescent="0.2">
      <c r="A71" s="196" t="s">
        <v>11</v>
      </c>
      <c r="B71" s="196" t="s">
        <v>12</v>
      </c>
      <c r="C71" s="196" t="s">
        <v>2</v>
      </c>
      <c r="D71" s="722" t="s">
        <v>5</v>
      </c>
      <c r="E71" s="33" t="s">
        <v>95</v>
      </c>
      <c r="F71" s="33" t="s">
        <v>96</v>
      </c>
      <c r="G71" s="33" t="s">
        <v>97</v>
      </c>
      <c r="H71" s="32"/>
    </row>
    <row r="72" spans="1:9" s="74" customFormat="1" x14ac:dyDescent="0.25">
      <c r="A72" s="167" t="s">
        <v>56</v>
      </c>
      <c r="B72" s="84"/>
      <c r="C72" s="168"/>
      <c r="D72" s="169">
        <v>4</v>
      </c>
      <c r="E72" s="169">
        <v>4</v>
      </c>
      <c r="F72" s="169">
        <v>4</v>
      </c>
      <c r="G72" s="169">
        <v>4</v>
      </c>
      <c r="H72" s="169">
        <v>4</v>
      </c>
    </row>
    <row r="73" spans="1:9" x14ac:dyDescent="0.25">
      <c r="A73" s="170" t="s">
        <v>180</v>
      </c>
      <c r="B73" s="170" t="s">
        <v>441</v>
      </c>
      <c r="C73" s="199" t="s">
        <v>449</v>
      </c>
      <c r="D73" s="200">
        <v>236</v>
      </c>
      <c r="E73" s="175" t="s">
        <v>224</v>
      </c>
      <c r="F73" s="203" t="s">
        <v>227</v>
      </c>
      <c r="G73" s="203"/>
      <c r="H73" s="723">
        <v>4</v>
      </c>
    </row>
    <row r="74" spans="1:9" x14ac:dyDescent="0.25">
      <c r="A74" s="170" t="s">
        <v>417</v>
      </c>
      <c r="B74" s="170" t="s">
        <v>205</v>
      </c>
      <c r="C74" s="199" t="s">
        <v>212</v>
      </c>
      <c r="D74" s="200">
        <v>168</v>
      </c>
      <c r="E74" s="175" t="s">
        <v>227</v>
      </c>
      <c r="F74" s="175"/>
      <c r="G74" s="175" t="s">
        <v>224</v>
      </c>
      <c r="H74" s="723">
        <v>6</v>
      </c>
    </row>
    <row r="75" spans="1:9" x14ac:dyDescent="0.25">
      <c r="A75" s="170" t="s">
        <v>443</v>
      </c>
      <c r="B75" s="170" t="s">
        <v>442</v>
      </c>
      <c r="C75" s="199" t="s">
        <v>212</v>
      </c>
      <c r="D75" s="200">
        <v>89</v>
      </c>
      <c r="E75" s="175" t="s">
        <v>227</v>
      </c>
      <c r="F75" s="175"/>
      <c r="G75" s="175" t="s">
        <v>224</v>
      </c>
      <c r="H75" s="723">
        <v>4</v>
      </c>
    </row>
    <row r="76" spans="1:9" x14ac:dyDescent="0.25">
      <c r="A76" s="170" t="s">
        <v>181</v>
      </c>
      <c r="B76" s="170" t="s">
        <v>434</v>
      </c>
      <c r="C76" s="199" t="s">
        <v>212</v>
      </c>
      <c r="D76" s="200">
        <v>36</v>
      </c>
      <c r="E76" s="175" t="s">
        <v>224</v>
      </c>
      <c r="F76" s="203" t="s">
        <v>227</v>
      </c>
      <c r="G76" s="203"/>
      <c r="H76" s="723">
        <v>6.5</v>
      </c>
    </row>
    <row r="77" spans="1:9" s="136" customFormat="1" x14ac:dyDescent="0.25">
      <c r="A77" s="179"/>
      <c r="B77" s="180"/>
      <c r="C77" s="205" t="s">
        <v>7</v>
      </c>
      <c r="D77" s="182">
        <f>SUM(D73:D76)</f>
        <v>529</v>
      </c>
      <c r="E77" s="185">
        <v>2</v>
      </c>
      <c r="F77" s="185">
        <v>0</v>
      </c>
      <c r="G77" s="185">
        <v>2</v>
      </c>
      <c r="H77" s="183">
        <f>SUM(H73:H76)</f>
        <v>20.5</v>
      </c>
      <c r="I77" s="4"/>
    </row>
    <row r="78" spans="1:9" s="142" customFormat="1" x14ac:dyDescent="0.25">
      <c r="A78" s="186"/>
      <c r="B78" s="187"/>
      <c r="C78" s="188" t="s">
        <v>8</v>
      </c>
      <c r="D78" s="182">
        <f>AVERAGE(D73:D76)</f>
        <v>132.25</v>
      </c>
      <c r="E78" s="185"/>
      <c r="F78" s="185" t="s">
        <v>227</v>
      </c>
      <c r="G78" s="185" t="s">
        <v>227</v>
      </c>
      <c r="H78" s="727">
        <f>AVERAGE(H73:H76)</f>
        <v>5.125</v>
      </c>
      <c r="I78" s="4"/>
    </row>
    <row r="79" spans="1:9" s="142" customFormat="1" x14ac:dyDescent="0.25">
      <c r="A79" s="186"/>
      <c r="B79" s="187"/>
      <c r="C79" s="188" t="s">
        <v>9</v>
      </c>
      <c r="D79" s="182">
        <f>MEDIAN(D73:D76)</f>
        <v>128.5</v>
      </c>
      <c r="E79" s="185"/>
      <c r="F79" s="185"/>
      <c r="G79" s="185"/>
      <c r="H79" s="727">
        <f>MEDIAN(H73:H76)</f>
        <v>5</v>
      </c>
      <c r="I79" s="4"/>
    </row>
    <row r="80" spans="1:9" s="142" customFormat="1" x14ac:dyDescent="0.25">
      <c r="A80" s="191"/>
      <c r="B80" s="192"/>
      <c r="C80" s="188" t="s">
        <v>30</v>
      </c>
      <c r="D80" s="193"/>
      <c r="E80" s="195">
        <f>+E77/E72</f>
        <v>0.5</v>
      </c>
      <c r="F80" s="195">
        <f>+F77/F72</f>
        <v>0</v>
      </c>
      <c r="G80" s="195">
        <f>G77/G72</f>
        <v>0.5</v>
      </c>
      <c r="H80" s="727"/>
      <c r="I80" s="4"/>
    </row>
    <row r="81" spans="1:8" x14ac:dyDescent="0.25">
      <c r="B81" s="150"/>
      <c r="C81" s="151"/>
    </row>
    <row r="82" spans="1:8" x14ac:dyDescent="0.25">
      <c r="B82" s="150"/>
      <c r="C82" s="151"/>
    </row>
    <row r="83" spans="1:8" s="161" customFormat="1" ht="15" customHeight="1" x14ac:dyDescent="0.2">
      <c r="A83" s="154" t="s">
        <v>673</v>
      </c>
      <c r="B83" s="246"/>
      <c r="C83" s="246"/>
      <c r="D83" s="247"/>
      <c r="E83" s="715"/>
      <c r="F83" s="715"/>
      <c r="G83" s="715"/>
      <c r="H83" s="716"/>
    </row>
    <row r="84" spans="1:8" s="74" customFormat="1" ht="27.75" customHeight="1" x14ac:dyDescent="0.2">
      <c r="A84" s="717"/>
      <c r="B84" s="718"/>
      <c r="C84" s="718"/>
      <c r="D84" s="197"/>
      <c r="E84" s="20" t="s">
        <v>98</v>
      </c>
      <c r="F84" s="719"/>
      <c r="G84" s="720"/>
      <c r="H84" s="721" t="s">
        <v>99</v>
      </c>
    </row>
    <row r="85" spans="1:8" s="74" customFormat="1" ht="25.5" x14ac:dyDescent="0.2">
      <c r="A85" s="196" t="s">
        <v>11</v>
      </c>
      <c r="B85" s="196" t="s">
        <v>12</v>
      </c>
      <c r="C85" s="196" t="s">
        <v>2</v>
      </c>
      <c r="D85" s="722" t="s">
        <v>5</v>
      </c>
      <c r="E85" s="33" t="s">
        <v>95</v>
      </c>
      <c r="F85" s="33" t="s">
        <v>96</v>
      </c>
      <c r="G85" s="33" t="s">
        <v>97</v>
      </c>
      <c r="H85" s="32"/>
    </row>
    <row r="86" spans="1:8" s="74" customFormat="1" x14ac:dyDescent="0.25">
      <c r="A86" s="167" t="s">
        <v>56</v>
      </c>
      <c r="B86" s="84"/>
      <c r="C86" s="168"/>
      <c r="D86" s="169">
        <v>14</v>
      </c>
      <c r="E86" s="169">
        <v>12</v>
      </c>
      <c r="F86" s="169">
        <v>12</v>
      </c>
      <c r="G86" s="169">
        <v>12</v>
      </c>
      <c r="H86" s="169">
        <v>12</v>
      </c>
    </row>
    <row r="87" spans="1:8" x14ac:dyDescent="0.25">
      <c r="A87" s="170" t="s">
        <v>361</v>
      </c>
      <c r="B87" s="170" t="s">
        <v>503</v>
      </c>
      <c r="C87" s="206" t="s">
        <v>213</v>
      </c>
      <c r="D87" s="200">
        <v>719</v>
      </c>
      <c r="E87" s="175" t="s">
        <v>224</v>
      </c>
      <c r="F87" s="175" t="s">
        <v>227</v>
      </c>
      <c r="G87" s="203"/>
      <c r="H87" s="723">
        <v>2</v>
      </c>
    </row>
    <row r="88" spans="1:8" x14ac:dyDescent="0.25">
      <c r="A88" s="170" t="s">
        <v>163</v>
      </c>
      <c r="B88" s="170" t="s">
        <v>164</v>
      </c>
      <c r="C88" s="206" t="s">
        <v>213</v>
      </c>
      <c r="D88" s="200">
        <v>173</v>
      </c>
      <c r="E88" s="175" t="s">
        <v>227</v>
      </c>
      <c r="F88" s="175" t="s">
        <v>224</v>
      </c>
      <c r="G88" s="203" t="s">
        <v>227</v>
      </c>
      <c r="H88" s="723">
        <v>1.5</v>
      </c>
    </row>
    <row r="89" spans="1:8" x14ac:dyDescent="0.25">
      <c r="A89" s="170" t="s">
        <v>148</v>
      </c>
      <c r="B89" s="170" t="s">
        <v>504</v>
      </c>
      <c r="C89" s="206" t="s">
        <v>214</v>
      </c>
      <c r="D89" s="200">
        <v>890</v>
      </c>
      <c r="E89" s="175" t="s">
        <v>224</v>
      </c>
      <c r="F89" s="175" t="s">
        <v>227</v>
      </c>
      <c r="G89" s="203"/>
      <c r="H89" s="723">
        <v>8</v>
      </c>
    </row>
    <row r="90" spans="1:8" x14ac:dyDescent="0.25">
      <c r="A90" s="170" t="s">
        <v>148</v>
      </c>
      <c r="B90" s="170" t="s">
        <v>505</v>
      </c>
      <c r="C90" s="206" t="s">
        <v>214</v>
      </c>
      <c r="D90" s="200">
        <v>717</v>
      </c>
      <c r="E90" s="175" t="s">
        <v>224</v>
      </c>
      <c r="F90" s="175" t="s">
        <v>227</v>
      </c>
      <c r="G90" s="203"/>
      <c r="H90" s="723">
        <v>20</v>
      </c>
    </row>
    <row r="91" spans="1:8" x14ac:dyDescent="0.25">
      <c r="A91" s="170" t="s">
        <v>178</v>
      </c>
      <c r="B91" s="170" t="s">
        <v>243</v>
      </c>
      <c r="C91" s="206" t="s">
        <v>214</v>
      </c>
      <c r="D91" s="200">
        <v>470</v>
      </c>
      <c r="E91" s="175" t="s">
        <v>227</v>
      </c>
      <c r="F91" s="175" t="s">
        <v>224</v>
      </c>
      <c r="G91" s="203"/>
      <c r="H91" s="723">
        <v>3</v>
      </c>
    </row>
    <row r="92" spans="1:8" x14ac:dyDescent="0.25">
      <c r="A92" s="170" t="s">
        <v>364</v>
      </c>
      <c r="B92" s="170" t="s">
        <v>450</v>
      </c>
      <c r="C92" s="206" t="s">
        <v>213</v>
      </c>
      <c r="D92" s="200">
        <v>447</v>
      </c>
      <c r="E92" s="175" t="s">
        <v>227</v>
      </c>
      <c r="F92" s="175" t="s">
        <v>224</v>
      </c>
      <c r="G92" s="203"/>
      <c r="H92" s="723">
        <v>7</v>
      </c>
    </row>
    <row r="93" spans="1:8" x14ac:dyDescent="0.25">
      <c r="A93" s="170" t="s">
        <v>364</v>
      </c>
      <c r="B93" s="170" t="s">
        <v>506</v>
      </c>
      <c r="C93" s="206" t="s">
        <v>213</v>
      </c>
      <c r="D93" s="200">
        <v>792</v>
      </c>
      <c r="E93" s="175" t="s">
        <v>224</v>
      </c>
      <c r="F93" s="175" t="s">
        <v>227</v>
      </c>
      <c r="G93" s="203"/>
      <c r="H93" s="723">
        <v>0</v>
      </c>
    </row>
    <row r="94" spans="1:8" x14ac:dyDescent="0.25">
      <c r="A94" s="170" t="s">
        <v>364</v>
      </c>
      <c r="B94" s="170" t="s">
        <v>507</v>
      </c>
      <c r="C94" s="206" t="s">
        <v>213</v>
      </c>
      <c r="D94" s="200">
        <v>767</v>
      </c>
      <c r="E94" s="175" t="s">
        <v>224</v>
      </c>
      <c r="F94" s="175" t="s">
        <v>227</v>
      </c>
      <c r="G94" s="203"/>
      <c r="H94" s="723">
        <v>10</v>
      </c>
    </row>
    <row r="95" spans="1:8" x14ac:dyDescent="0.25">
      <c r="A95" s="170" t="s">
        <v>149</v>
      </c>
      <c r="B95" s="170" t="s">
        <v>312</v>
      </c>
      <c r="C95" s="206" t="s">
        <v>213</v>
      </c>
      <c r="D95" s="200">
        <v>466</v>
      </c>
      <c r="E95" s="175" t="s">
        <v>227</v>
      </c>
      <c r="F95" s="175" t="s">
        <v>224</v>
      </c>
      <c r="G95" s="203"/>
      <c r="H95" s="723">
        <v>10</v>
      </c>
    </row>
    <row r="96" spans="1:8" x14ac:dyDescent="0.25">
      <c r="A96" s="170" t="s">
        <v>183</v>
      </c>
      <c r="B96" s="170" t="s">
        <v>244</v>
      </c>
      <c r="C96" s="206" t="s">
        <v>213</v>
      </c>
      <c r="D96" s="200">
        <v>869</v>
      </c>
      <c r="E96" s="219" t="s">
        <v>233</v>
      </c>
      <c r="F96" s="219" t="s">
        <v>233</v>
      </c>
      <c r="G96" s="494" t="s">
        <v>233</v>
      </c>
      <c r="H96" s="729" t="s">
        <v>233</v>
      </c>
    </row>
    <row r="97" spans="1:9" x14ac:dyDescent="0.25">
      <c r="A97" s="170" t="s">
        <v>143</v>
      </c>
      <c r="B97" s="170" t="s">
        <v>508</v>
      </c>
      <c r="C97" s="206" t="s">
        <v>213</v>
      </c>
      <c r="D97" s="200">
        <v>105</v>
      </c>
      <c r="E97" s="219" t="s">
        <v>233</v>
      </c>
      <c r="F97" s="219" t="s">
        <v>233</v>
      </c>
      <c r="G97" s="494" t="s">
        <v>233</v>
      </c>
      <c r="H97" s="723">
        <v>0</v>
      </c>
    </row>
    <row r="98" spans="1:9" x14ac:dyDescent="0.25">
      <c r="A98" s="170" t="s">
        <v>257</v>
      </c>
      <c r="B98" s="170" t="s">
        <v>509</v>
      </c>
      <c r="C98" s="206" t="s">
        <v>214</v>
      </c>
      <c r="D98" s="200">
        <v>799</v>
      </c>
      <c r="E98" s="175" t="s">
        <v>224</v>
      </c>
      <c r="F98" s="175" t="s">
        <v>227</v>
      </c>
      <c r="G98" s="203"/>
      <c r="H98" s="723">
        <v>7</v>
      </c>
    </row>
    <row r="99" spans="1:9" x14ac:dyDescent="0.25">
      <c r="A99" s="170" t="s">
        <v>365</v>
      </c>
      <c r="B99" s="170" t="s">
        <v>313</v>
      </c>
      <c r="C99" s="206" t="s">
        <v>213</v>
      </c>
      <c r="D99" s="200">
        <v>698</v>
      </c>
      <c r="E99" s="175" t="s">
        <v>224</v>
      </c>
      <c r="F99" s="175" t="s">
        <v>227</v>
      </c>
      <c r="G99" s="203" t="s">
        <v>227</v>
      </c>
      <c r="H99" s="729" t="s">
        <v>233</v>
      </c>
    </row>
    <row r="100" spans="1:9" x14ac:dyDescent="0.25">
      <c r="A100" s="170" t="s">
        <v>174</v>
      </c>
      <c r="B100" s="170" t="s">
        <v>177</v>
      </c>
      <c r="C100" s="206" t="s">
        <v>213</v>
      </c>
      <c r="D100" s="200">
        <v>245</v>
      </c>
      <c r="E100" s="175" t="s">
        <v>224</v>
      </c>
      <c r="F100" s="175" t="s">
        <v>227</v>
      </c>
      <c r="G100" s="203" t="s">
        <v>227</v>
      </c>
      <c r="H100" s="723">
        <v>1</v>
      </c>
    </row>
    <row r="101" spans="1:9" s="136" customFormat="1" x14ac:dyDescent="0.25">
      <c r="A101" s="179"/>
      <c r="B101" s="180"/>
      <c r="C101" s="181" t="s">
        <v>7</v>
      </c>
      <c r="D101" s="182">
        <f>SUM(D87:D100)</f>
        <v>8157</v>
      </c>
      <c r="E101" s="185">
        <v>8</v>
      </c>
      <c r="F101" s="185">
        <v>4</v>
      </c>
      <c r="G101" s="185">
        <v>0</v>
      </c>
      <c r="H101" s="183">
        <f>SUM(H87:H100)</f>
        <v>69.5</v>
      </c>
      <c r="I101" s="4"/>
    </row>
    <row r="102" spans="1:9" s="142" customFormat="1" x14ac:dyDescent="0.25">
      <c r="A102" s="186"/>
      <c r="B102" s="187"/>
      <c r="C102" s="188" t="s">
        <v>8</v>
      </c>
      <c r="D102" s="182">
        <f>AVERAGE(D87:D100)</f>
        <v>582.64285714285711</v>
      </c>
      <c r="E102" s="185" t="s">
        <v>227</v>
      </c>
      <c r="F102" s="185" t="s">
        <v>227</v>
      </c>
      <c r="G102" s="185" t="s">
        <v>227</v>
      </c>
      <c r="H102" s="727">
        <f>AVERAGE(H87:H100)</f>
        <v>5.791666666666667</v>
      </c>
      <c r="I102" s="4"/>
    </row>
    <row r="103" spans="1:9" s="142" customFormat="1" x14ac:dyDescent="0.25">
      <c r="A103" s="186"/>
      <c r="B103" s="187"/>
      <c r="C103" s="188" t="s">
        <v>9</v>
      </c>
      <c r="D103" s="182">
        <f>MEDIAN(D87:D100)</f>
        <v>707.5</v>
      </c>
      <c r="E103" s="185"/>
      <c r="F103" s="185"/>
      <c r="G103" s="185"/>
      <c r="H103" s="727">
        <f>MEDIAN(H87:H100)</f>
        <v>5</v>
      </c>
      <c r="I103" s="4"/>
    </row>
    <row r="104" spans="1:9" s="142" customFormat="1" x14ac:dyDescent="0.25">
      <c r="A104" s="191"/>
      <c r="B104" s="192"/>
      <c r="C104" s="188" t="s">
        <v>30</v>
      </c>
      <c r="D104" s="193"/>
      <c r="E104" s="195">
        <f>+E101/E86</f>
        <v>0.66666666666666663</v>
      </c>
      <c r="F104" s="195">
        <f>+F101/F86</f>
        <v>0.33333333333333331</v>
      </c>
      <c r="G104" s="195">
        <f>+G101/G86</f>
        <v>0</v>
      </c>
      <c r="H104" s="727"/>
      <c r="I104" s="4"/>
    </row>
    <row r="105" spans="1:9" x14ac:dyDescent="0.25">
      <c r="B105" s="150"/>
      <c r="C105" s="151"/>
    </row>
    <row r="106" spans="1:9" x14ac:dyDescent="0.25">
      <c r="B106" s="150"/>
      <c r="C106" s="151"/>
    </row>
    <row r="107" spans="1:9" s="161" customFormat="1" ht="15" customHeight="1" x14ac:dyDescent="0.2">
      <c r="A107" s="154" t="s">
        <v>671</v>
      </c>
      <c r="B107" s="246"/>
      <c r="C107" s="246"/>
      <c r="D107" s="247"/>
      <c r="E107" s="715"/>
      <c r="F107" s="715"/>
      <c r="G107" s="715"/>
      <c r="H107" s="716"/>
    </row>
    <row r="108" spans="1:9" s="74" customFormat="1" ht="27.75" customHeight="1" x14ac:dyDescent="0.2">
      <c r="A108" s="717"/>
      <c r="B108" s="718"/>
      <c r="C108" s="718"/>
      <c r="D108" s="197"/>
      <c r="E108" s="20" t="s">
        <v>98</v>
      </c>
      <c r="F108" s="719"/>
      <c r="G108" s="720"/>
      <c r="H108" s="721" t="s">
        <v>99</v>
      </c>
    </row>
    <row r="109" spans="1:9" s="74" customFormat="1" ht="25.5" x14ac:dyDescent="0.2">
      <c r="A109" s="196" t="s">
        <v>11</v>
      </c>
      <c r="B109" s="196" t="s">
        <v>12</v>
      </c>
      <c r="C109" s="196" t="s">
        <v>2</v>
      </c>
      <c r="D109" s="722" t="s">
        <v>5</v>
      </c>
      <c r="E109" s="33" t="s">
        <v>95</v>
      </c>
      <c r="F109" s="33" t="s">
        <v>96</v>
      </c>
      <c r="G109" s="33" t="s">
        <v>97</v>
      </c>
      <c r="H109" s="32"/>
    </row>
    <row r="110" spans="1:9" s="74" customFormat="1" x14ac:dyDescent="0.25">
      <c r="A110" s="167" t="s">
        <v>56</v>
      </c>
      <c r="B110" s="84"/>
      <c r="C110" s="168"/>
      <c r="D110" s="169">
        <v>7</v>
      </c>
      <c r="E110" s="169">
        <v>5</v>
      </c>
      <c r="F110" s="169">
        <v>5</v>
      </c>
      <c r="G110" s="169">
        <v>5</v>
      </c>
      <c r="H110" s="169">
        <v>5</v>
      </c>
    </row>
    <row r="111" spans="1:9" x14ac:dyDescent="0.25">
      <c r="A111" s="170" t="s">
        <v>361</v>
      </c>
      <c r="B111" s="170" t="s">
        <v>510</v>
      </c>
      <c r="C111" s="199" t="s">
        <v>215</v>
      </c>
      <c r="D111" s="200">
        <v>239</v>
      </c>
      <c r="E111" s="276"/>
      <c r="F111" s="276" t="s">
        <v>227</v>
      </c>
      <c r="G111" s="175" t="s">
        <v>224</v>
      </c>
      <c r="H111" s="723">
        <v>12.5</v>
      </c>
    </row>
    <row r="112" spans="1:9" x14ac:dyDescent="0.25">
      <c r="A112" s="170" t="s">
        <v>417</v>
      </c>
      <c r="B112" s="170" t="s">
        <v>245</v>
      </c>
      <c r="C112" s="199" t="s">
        <v>215</v>
      </c>
      <c r="D112" s="200">
        <v>469</v>
      </c>
      <c r="E112" s="274"/>
      <c r="F112" s="274" t="s">
        <v>227</v>
      </c>
      <c r="G112" s="175" t="s">
        <v>224</v>
      </c>
      <c r="H112" s="723">
        <v>20</v>
      </c>
    </row>
    <row r="113" spans="1:9" x14ac:dyDescent="0.25">
      <c r="A113" s="3" t="s">
        <v>364</v>
      </c>
      <c r="B113" s="3" t="s">
        <v>529</v>
      </c>
      <c r="C113" s="171" t="s">
        <v>215</v>
      </c>
      <c r="D113" s="212">
        <v>178</v>
      </c>
      <c r="E113" s="219" t="s">
        <v>233</v>
      </c>
      <c r="F113" s="219" t="s">
        <v>233</v>
      </c>
      <c r="G113" s="219" t="s">
        <v>233</v>
      </c>
      <c r="H113" s="729" t="s">
        <v>233</v>
      </c>
    </row>
    <row r="114" spans="1:9" x14ac:dyDescent="0.25">
      <c r="A114" s="170" t="s">
        <v>364</v>
      </c>
      <c r="B114" s="170" t="s">
        <v>511</v>
      </c>
      <c r="C114" s="199" t="s">
        <v>215</v>
      </c>
      <c r="D114" s="200">
        <v>176</v>
      </c>
      <c r="E114" s="274"/>
      <c r="F114" s="274"/>
      <c r="G114" s="175" t="s">
        <v>224</v>
      </c>
      <c r="H114" s="723">
        <v>3.5</v>
      </c>
    </row>
    <row r="115" spans="1:9" x14ac:dyDescent="0.25">
      <c r="A115" s="170" t="s">
        <v>485</v>
      </c>
      <c r="B115" s="170" t="s">
        <v>481</v>
      </c>
      <c r="C115" s="199" t="s">
        <v>215</v>
      </c>
      <c r="D115" s="200">
        <v>619</v>
      </c>
      <c r="E115" s="274"/>
      <c r="F115" s="274"/>
      <c r="G115" s="175" t="s">
        <v>224</v>
      </c>
      <c r="H115" s="723">
        <v>7</v>
      </c>
    </row>
    <row r="116" spans="1:9" x14ac:dyDescent="0.25">
      <c r="A116" s="170" t="s">
        <v>257</v>
      </c>
      <c r="B116" s="170" t="s">
        <v>482</v>
      </c>
      <c r="C116" s="199" t="s">
        <v>215</v>
      </c>
      <c r="D116" s="200">
        <v>26</v>
      </c>
      <c r="E116" s="274"/>
      <c r="F116" s="274"/>
      <c r="G116" s="175" t="s">
        <v>224</v>
      </c>
      <c r="H116" s="723">
        <v>3</v>
      </c>
    </row>
    <row r="117" spans="1:9" x14ac:dyDescent="0.25">
      <c r="A117" s="170" t="s">
        <v>166</v>
      </c>
      <c r="B117" s="170" t="s">
        <v>246</v>
      </c>
      <c r="C117" s="199" t="s">
        <v>215</v>
      </c>
      <c r="D117" s="200">
        <v>519</v>
      </c>
      <c r="E117" s="219" t="s">
        <v>233</v>
      </c>
      <c r="F117" s="219" t="s">
        <v>233</v>
      </c>
      <c r="G117" s="219" t="s">
        <v>233</v>
      </c>
      <c r="H117" s="729" t="s">
        <v>233</v>
      </c>
    </row>
    <row r="118" spans="1:9" s="136" customFormat="1" x14ac:dyDescent="0.25">
      <c r="A118" s="179"/>
      <c r="B118" s="180"/>
      <c r="C118" s="205" t="s">
        <v>7</v>
      </c>
      <c r="D118" s="182">
        <f>SUM(D111:D117)</f>
        <v>2226</v>
      </c>
      <c r="E118" s="185">
        <v>0</v>
      </c>
      <c r="F118" s="185">
        <v>0</v>
      </c>
      <c r="G118" s="185">
        <v>5</v>
      </c>
      <c r="H118" s="183">
        <f>SUM(H111:H117)</f>
        <v>46</v>
      </c>
      <c r="I118" s="4"/>
    </row>
    <row r="119" spans="1:9" s="142" customFormat="1" x14ac:dyDescent="0.25">
      <c r="A119" s="186"/>
      <c r="B119" s="187"/>
      <c r="C119" s="188" t="s">
        <v>8</v>
      </c>
      <c r="D119" s="182">
        <f>AVERAGE(D111:D117)</f>
        <v>318</v>
      </c>
      <c r="E119" s="185"/>
      <c r="F119" s="185"/>
      <c r="G119" s="185"/>
      <c r="H119" s="727">
        <f>AVERAGE(H111:H117)</f>
        <v>9.1999999999999993</v>
      </c>
      <c r="I119" s="4"/>
    </row>
    <row r="120" spans="1:9" s="142" customFormat="1" x14ac:dyDescent="0.25">
      <c r="A120" s="186"/>
      <c r="B120" s="187"/>
      <c r="C120" s="188" t="s">
        <v>9</v>
      </c>
      <c r="D120" s="182">
        <f>MEDIAN(D111:D117)</f>
        <v>239</v>
      </c>
      <c r="E120" s="185"/>
      <c r="F120" s="185"/>
      <c r="G120" s="185"/>
      <c r="H120" s="727">
        <f>MEDIAN(H111:H117)</f>
        <v>7</v>
      </c>
      <c r="I120" s="4"/>
    </row>
    <row r="121" spans="1:9" s="142" customFormat="1" x14ac:dyDescent="0.25">
      <c r="A121" s="191"/>
      <c r="B121" s="192"/>
      <c r="C121" s="188" t="s">
        <v>30</v>
      </c>
      <c r="D121" s="193"/>
      <c r="E121" s="195">
        <f>+E118/E110</f>
        <v>0</v>
      </c>
      <c r="F121" s="195">
        <f>+F118/F110</f>
        <v>0</v>
      </c>
      <c r="G121" s="195">
        <f>+G118/G110</f>
        <v>1</v>
      </c>
      <c r="H121" s="727"/>
      <c r="I121" s="4"/>
    </row>
    <row r="122" spans="1:9" x14ac:dyDescent="0.25">
      <c r="B122" s="150"/>
      <c r="C122" s="151"/>
    </row>
    <row r="123" spans="1:9" x14ac:dyDescent="0.25">
      <c r="B123" s="150"/>
      <c r="C123" s="151"/>
    </row>
    <row r="124" spans="1:9" s="161" customFormat="1" ht="15" customHeight="1" x14ac:dyDescent="0.2">
      <c r="A124" s="154" t="s">
        <v>672</v>
      </c>
      <c r="B124" s="246"/>
      <c r="C124" s="246"/>
      <c r="D124" s="247"/>
      <c r="E124" s="715"/>
      <c r="F124" s="715"/>
      <c r="G124" s="715"/>
      <c r="H124" s="716"/>
    </row>
    <row r="125" spans="1:9" s="74" customFormat="1" ht="27.75" customHeight="1" x14ac:dyDescent="0.2">
      <c r="A125" s="717"/>
      <c r="B125" s="718"/>
      <c r="C125" s="718"/>
      <c r="D125" s="197"/>
      <c r="E125" s="20" t="s">
        <v>98</v>
      </c>
      <c r="F125" s="719"/>
      <c r="G125" s="720"/>
      <c r="H125" s="721" t="s">
        <v>99</v>
      </c>
    </row>
    <row r="126" spans="1:9" s="74" customFormat="1" ht="25.5" x14ac:dyDescent="0.2">
      <c r="A126" s="196" t="s">
        <v>11</v>
      </c>
      <c r="B126" s="196" t="s">
        <v>12</v>
      </c>
      <c r="C126" s="196" t="s">
        <v>2</v>
      </c>
      <c r="D126" s="722" t="s">
        <v>5</v>
      </c>
      <c r="E126" s="33" t="s">
        <v>95</v>
      </c>
      <c r="F126" s="33" t="s">
        <v>96</v>
      </c>
      <c r="G126" s="33" t="s">
        <v>97</v>
      </c>
      <c r="H126" s="32"/>
    </row>
    <row r="127" spans="1:9" s="74" customFormat="1" x14ac:dyDescent="0.25">
      <c r="A127" s="167" t="s">
        <v>56</v>
      </c>
      <c r="B127" s="84"/>
      <c r="C127" s="168"/>
      <c r="D127" s="169">
        <v>62</v>
      </c>
      <c r="E127" s="169">
        <v>55</v>
      </c>
      <c r="F127" s="169">
        <v>55</v>
      </c>
      <c r="G127" s="169">
        <v>55</v>
      </c>
      <c r="H127" s="169">
        <v>56</v>
      </c>
    </row>
    <row r="128" spans="1:9" x14ac:dyDescent="0.25">
      <c r="A128" s="170" t="s">
        <v>361</v>
      </c>
      <c r="B128" s="170" t="s">
        <v>321</v>
      </c>
      <c r="C128" s="199" t="s">
        <v>216</v>
      </c>
      <c r="D128" s="200">
        <v>14</v>
      </c>
      <c r="E128" s="175" t="s">
        <v>227</v>
      </c>
      <c r="F128" s="175" t="s">
        <v>227</v>
      </c>
      <c r="G128" s="175" t="s">
        <v>224</v>
      </c>
      <c r="H128" s="723">
        <v>3</v>
      </c>
    </row>
    <row r="129" spans="1:8" x14ac:dyDescent="0.25">
      <c r="A129" s="170" t="s">
        <v>361</v>
      </c>
      <c r="B129" s="170" t="s">
        <v>512</v>
      </c>
      <c r="C129" s="199" t="s">
        <v>216</v>
      </c>
      <c r="D129" s="200">
        <v>257</v>
      </c>
      <c r="E129" s="175" t="s">
        <v>227</v>
      </c>
      <c r="F129" s="175" t="s">
        <v>227</v>
      </c>
      <c r="G129" s="175" t="s">
        <v>224</v>
      </c>
      <c r="H129" s="723">
        <v>25</v>
      </c>
    </row>
    <row r="130" spans="1:8" x14ac:dyDescent="0.25">
      <c r="A130" s="170" t="s">
        <v>361</v>
      </c>
      <c r="B130" s="170" t="s">
        <v>262</v>
      </c>
      <c r="C130" s="199" t="s">
        <v>216</v>
      </c>
      <c r="D130" s="200">
        <v>249</v>
      </c>
      <c r="E130" s="175" t="s">
        <v>227</v>
      </c>
      <c r="F130" s="175" t="s">
        <v>227</v>
      </c>
      <c r="G130" s="175" t="s">
        <v>224</v>
      </c>
      <c r="H130" s="723">
        <v>16</v>
      </c>
    </row>
    <row r="131" spans="1:8" x14ac:dyDescent="0.25">
      <c r="A131" s="170" t="s">
        <v>180</v>
      </c>
      <c r="B131" s="170" t="s">
        <v>263</v>
      </c>
      <c r="C131" s="199" t="s">
        <v>216</v>
      </c>
      <c r="D131" s="200">
        <v>389</v>
      </c>
      <c r="E131" s="175" t="s">
        <v>227</v>
      </c>
      <c r="F131" s="175" t="s">
        <v>224</v>
      </c>
      <c r="G131" s="175" t="s">
        <v>227</v>
      </c>
      <c r="H131" s="723">
        <v>6</v>
      </c>
    </row>
    <row r="132" spans="1:8" x14ac:dyDescent="0.25">
      <c r="A132" s="170" t="s">
        <v>163</v>
      </c>
      <c r="B132" s="170" t="s">
        <v>513</v>
      </c>
      <c r="C132" s="199" t="s">
        <v>216</v>
      </c>
      <c r="D132" s="200">
        <v>345</v>
      </c>
      <c r="E132" s="175" t="s">
        <v>227</v>
      </c>
      <c r="F132" s="175" t="s">
        <v>227</v>
      </c>
      <c r="G132" s="175" t="s">
        <v>224</v>
      </c>
      <c r="H132" s="723">
        <v>9.5</v>
      </c>
    </row>
    <row r="133" spans="1:8" x14ac:dyDescent="0.25">
      <c r="A133" s="170" t="s">
        <v>362</v>
      </c>
      <c r="B133" s="170" t="s">
        <v>322</v>
      </c>
      <c r="C133" s="199" t="s">
        <v>217</v>
      </c>
      <c r="D133" s="200">
        <v>424</v>
      </c>
      <c r="E133" s="175" t="s">
        <v>227</v>
      </c>
      <c r="F133" s="175" t="s">
        <v>227</v>
      </c>
      <c r="G133" s="175" t="s">
        <v>224</v>
      </c>
      <c r="H133" s="723">
        <v>8.75</v>
      </c>
    </row>
    <row r="134" spans="1:8" x14ac:dyDescent="0.25">
      <c r="A134" s="170" t="s">
        <v>362</v>
      </c>
      <c r="B134" s="170" t="s">
        <v>264</v>
      </c>
      <c r="C134" s="199" t="s">
        <v>217</v>
      </c>
      <c r="D134" s="200">
        <v>381</v>
      </c>
      <c r="E134" s="175" t="s">
        <v>227</v>
      </c>
      <c r="F134" s="175" t="s">
        <v>227</v>
      </c>
      <c r="G134" s="175" t="s">
        <v>224</v>
      </c>
      <c r="H134" s="723">
        <v>8.75</v>
      </c>
    </row>
    <row r="135" spans="1:8" x14ac:dyDescent="0.25">
      <c r="A135" s="170" t="s">
        <v>362</v>
      </c>
      <c r="B135" s="170" t="s">
        <v>514</v>
      </c>
      <c r="C135" s="199" t="s">
        <v>217</v>
      </c>
      <c r="D135" s="200">
        <v>199</v>
      </c>
      <c r="E135" s="175" t="s">
        <v>227</v>
      </c>
      <c r="F135" s="175" t="s">
        <v>227</v>
      </c>
      <c r="G135" s="175" t="s">
        <v>224</v>
      </c>
      <c r="H135" s="723">
        <v>0.5</v>
      </c>
    </row>
    <row r="136" spans="1:8" x14ac:dyDescent="0.25">
      <c r="A136" s="170" t="s">
        <v>362</v>
      </c>
      <c r="B136" s="170" t="s">
        <v>323</v>
      </c>
      <c r="C136" s="199" t="s">
        <v>217</v>
      </c>
      <c r="D136" s="200">
        <v>210</v>
      </c>
      <c r="E136" s="219" t="s">
        <v>233</v>
      </c>
      <c r="F136" s="219" t="s">
        <v>233</v>
      </c>
      <c r="G136" s="219" t="s">
        <v>233</v>
      </c>
      <c r="H136" s="729" t="s">
        <v>233</v>
      </c>
    </row>
    <row r="137" spans="1:8" x14ac:dyDescent="0.25">
      <c r="A137" s="170" t="s">
        <v>362</v>
      </c>
      <c r="B137" s="170" t="s">
        <v>265</v>
      </c>
      <c r="C137" s="199" t="s">
        <v>217</v>
      </c>
      <c r="D137" s="200">
        <v>323</v>
      </c>
      <c r="E137" s="175" t="s">
        <v>227</v>
      </c>
      <c r="F137" s="175" t="s">
        <v>227</v>
      </c>
      <c r="G137" s="175" t="s">
        <v>224</v>
      </c>
      <c r="H137" s="723">
        <v>17</v>
      </c>
    </row>
    <row r="138" spans="1:8" x14ac:dyDescent="0.25">
      <c r="A138" s="170" t="s">
        <v>362</v>
      </c>
      <c r="B138" s="170" t="s">
        <v>324</v>
      </c>
      <c r="C138" s="199" t="s">
        <v>217</v>
      </c>
      <c r="D138" s="200">
        <v>302</v>
      </c>
      <c r="E138" s="175" t="s">
        <v>227</v>
      </c>
      <c r="F138" s="175" t="s">
        <v>227</v>
      </c>
      <c r="G138" s="175" t="s">
        <v>224</v>
      </c>
      <c r="H138" s="723">
        <v>17</v>
      </c>
    </row>
    <row r="139" spans="1:8" x14ac:dyDescent="0.25">
      <c r="A139" s="170" t="s">
        <v>362</v>
      </c>
      <c r="B139" s="170" t="s">
        <v>515</v>
      </c>
      <c r="C139" s="199" t="s">
        <v>272</v>
      </c>
      <c r="D139" s="200">
        <v>260</v>
      </c>
      <c r="E139" s="175" t="s">
        <v>227</v>
      </c>
      <c r="F139" s="175" t="s">
        <v>227</v>
      </c>
      <c r="G139" s="175" t="s">
        <v>224</v>
      </c>
      <c r="H139" s="723">
        <v>12</v>
      </c>
    </row>
    <row r="140" spans="1:8" x14ac:dyDescent="0.25">
      <c r="A140" s="170" t="s">
        <v>362</v>
      </c>
      <c r="B140" s="170" t="s">
        <v>266</v>
      </c>
      <c r="C140" s="199" t="s">
        <v>217</v>
      </c>
      <c r="D140" s="200">
        <v>389</v>
      </c>
      <c r="E140" s="175" t="s">
        <v>227</v>
      </c>
      <c r="F140" s="175" t="s">
        <v>227</v>
      </c>
      <c r="G140" s="175" t="s">
        <v>224</v>
      </c>
      <c r="H140" s="723">
        <v>7</v>
      </c>
    </row>
    <row r="141" spans="1:8" x14ac:dyDescent="0.25">
      <c r="A141" s="170" t="s">
        <v>157</v>
      </c>
      <c r="B141" s="170" t="s">
        <v>516</v>
      </c>
      <c r="C141" s="199" t="s">
        <v>217</v>
      </c>
      <c r="D141" s="200">
        <v>4</v>
      </c>
      <c r="E141" s="219" t="s">
        <v>233</v>
      </c>
      <c r="F141" s="219" t="s">
        <v>233</v>
      </c>
      <c r="G141" s="219" t="s">
        <v>233</v>
      </c>
      <c r="H141" s="723">
        <v>0</v>
      </c>
    </row>
    <row r="142" spans="1:8" x14ac:dyDescent="0.25">
      <c r="A142" s="170" t="s">
        <v>157</v>
      </c>
      <c r="B142" s="170" t="s">
        <v>517</v>
      </c>
      <c r="C142" s="199" t="s">
        <v>217</v>
      </c>
      <c r="D142" s="200">
        <v>61</v>
      </c>
      <c r="E142" s="219" t="s">
        <v>233</v>
      </c>
      <c r="F142" s="219" t="s">
        <v>233</v>
      </c>
      <c r="G142" s="219" t="s">
        <v>233</v>
      </c>
      <c r="H142" s="723">
        <v>0</v>
      </c>
    </row>
    <row r="143" spans="1:8" x14ac:dyDescent="0.25">
      <c r="A143" s="170" t="s">
        <v>157</v>
      </c>
      <c r="B143" s="170" t="s">
        <v>518</v>
      </c>
      <c r="C143" s="171" t="s">
        <v>217</v>
      </c>
      <c r="D143" s="200">
        <v>12</v>
      </c>
      <c r="E143" s="219" t="s">
        <v>233</v>
      </c>
      <c r="F143" s="219" t="s">
        <v>233</v>
      </c>
      <c r="G143" s="219" t="s">
        <v>233</v>
      </c>
      <c r="H143" s="723">
        <v>0</v>
      </c>
    </row>
    <row r="144" spans="1:8" x14ac:dyDescent="0.25">
      <c r="A144" s="170" t="s">
        <v>182</v>
      </c>
      <c r="B144" s="170" t="s">
        <v>519</v>
      </c>
      <c r="C144" s="171" t="s">
        <v>275</v>
      </c>
      <c r="D144" s="200">
        <v>253</v>
      </c>
      <c r="E144" s="219" t="s">
        <v>233</v>
      </c>
      <c r="F144" s="219" t="s">
        <v>233</v>
      </c>
      <c r="G144" s="219" t="s">
        <v>233</v>
      </c>
      <c r="H144" s="729" t="s">
        <v>233</v>
      </c>
    </row>
    <row r="145" spans="1:8" x14ac:dyDescent="0.25">
      <c r="A145" s="170" t="s">
        <v>159</v>
      </c>
      <c r="B145" s="170" t="s">
        <v>267</v>
      </c>
      <c r="C145" s="171" t="s">
        <v>273</v>
      </c>
      <c r="D145" s="200">
        <v>236</v>
      </c>
      <c r="E145" s="175" t="s">
        <v>227</v>
      </c>
      <c r="F145" s="175" t="s">
        <v>227</v>
      </c>
      <c r="G145" s="175" t="s">
        <v>224</v>
      </c>
      <c r="H145" s="723">
        <v>10</v>
      </c>
    </row>
    <row r="146" spans="1:8" x14ac:dyDescent="0.25">
      <c r="A146" s="170" t="s">
        <v>168</v>
      </c>
      <c r="B146" s="170" t="s">
        <v>520</v>
      </c>
      <c r="C146" s="171" t="s">
        <v>274</v>
      </c>
      <c r="D146" s="200">
        <v>151</v>
      </c>
      <c r="E146" s="219" t="s">
        <v>233</v>
      </c>
      <c r="F146" s="219" t="s">
        <v>233</v>
      </c>
      <c r="G146" s="219" t="s">
        <v>233</v>
      </c>
      <c r="H146" s="729" t="s">
        <v>233</v>
      </c>
    </row>
    <row r="147" spans="1:8" x14ac:dyDescent="0.25">
      <c r="A147" s="170" t="s">
        <v>168</v>
      </c>
      <c r="B147" s="170" t="s">
        <v>268</v>
      </c>
      <c r="C147" s="171" t="s">
        <v>274</v>
      </c>
      <c r="D147" s="200">
        <v>208</v>
      </c>
      <c r="E147" s="175" t="s">
        <v>227</v>
      </c>
      <c r="F147" s="175" t="s">
        <v>227</v>
      </c>
      <c r="G147" s="175" t="s">
        <v>224</v>
      </c>
      <c r="H147" s="723">
        <v>4</v>
      </c>
    </row>
    <row r="148" spans="1:8" x14ac:dyDescent="0.25">
      <c r="A148" s="170" t="s">
        <v>148</v>
      </c>
      <c r="B148" s="170" t="s">
        <v>249</v>
      </c>
      <c r="C148" s="171" t="s">
        <v>217</v>
      </c>
      <c r="D148" s="200">
        <v>388</v>
      </c>
      <c r="E148" s="175" t="s">
        <v>227</v>
      </c>
      <c r="F148" s="175" t="s">
        <v>227</v>
      </c>
      <c r="G148" s="175" t="s">
        <v>224</v>
      </c>
      <c r="H148" s="723">
        <v>14</v>
      </c>
    </row>
    <row r="149" spans="1:8" x14ac:dyDescent="0.25">
      <c r="A149" s="170" t="s">
        <v>148</v>
      </c>
      <c r="B149" s="170" t="s">
        <v>521</v>
      </c>
      <c r="C149" s="171" t="s">
        <v>217</v>
      </c>
      <c r="D149" s="200">
        <v>312</v>
      </c>
      <c r="E149" s="175" t="s">
        <v>227</v>
      </c>
      <c r="F149" s="175" t="s">
        <v>227</v>
      </c>
      <c r="G149" s="175" t="s">
        <v>224</v>
      </c>
      <c r="H149" s="723">
        <v>10</v>
      </c>
    </row>
    <row r="150" spans="1:8" x14ac:dyDescent="0.25">
      <c r="A150" s="170" t="s">
        <v>148</v>
      </c>
      <c r="B150" s="170" t="s">
        <v>325</v>
      </c>
      <c r="C150" s="171" t="s">
        <v>217</v>
      </c>
      <c r="D150" s="200">
        <v>164</v>
      </c>
      <c r="E150" s="175" t="s">
        <v>227</v>
      </c>
      <c r="F150" s="175" t="s">
        <v>227</v>
      </c>
      <c r="G150" s="175" t="s">
        <v>224</v>
      </c>
      <c r="H150" s="723">
        <v>11</v>
      </c>
    </row>
    <row r="151" spans="1:8" x14ac:dyDescent="0.25">
      <c r="A151" s="170" t="s">
        <v>148</v>
      </c>
      <c r="B151" s="170" t="s">
        <v>522</v>
      </c>
      <c r="C151" s="199" t="s">
        <v>217</v>
      </c>
      <c r="D151" s="200">
        <v>354</v>
      </c>
      <c r="E151" s="175" t="s">
        <v>227</v>
      </c>
      <c r="F151" s="175" t="s">
        <v>227</v>
      </c>
      <c r="G151" s="175" t="s">
        <v>224</v>
      </c>
      <c r="H151" s="723">
        <v>20</v>
      </c>
    </row>
    <row r="152" spans="1:8" x14ac:dyDescent="0.25">
      <c r="A152" s="170" t="s">
        <v>148</v>
      </c>
      <c r="B152" s="170" t="s">
        <v>269</v>
      </c>
      <c r="C152" s="171" t="s">
        <v>222</v>
      </c>
      <c r="D152" s="200">
        <v>102</v>
      </c>
      <c r="E152" s="175" t="s">
        <v>227</v>
      </c>
      <c r="F152" s="175" t="s">
        <v>227</v>
      </c>
      <c r="G152" s="175" t="s">
        <v>224</v>
      </c>
      <c r="H152" s="723">
        <v>7</v>
      </c>
    </row>
    <row r="153" spans="1:8" x14ac:dyDescent="0.25">
      <c r="A153" s="170" t="s">
        <v>148</v>
      </c>
      <c r="B153" s="170" t="s">
        <v>523</v>
      </c>
      <c r="C153" s="199" t="s">
        <v>217</v>
      </c>
      <c r="D153" s="200">
        <v>82</v>
      </c>
      <c r="E153" s="175" t="s">
        <v>227</v>
      </c>
      <c r="F153" s="175" t="s">
        <v>227</v>
      </c>
      <c r="G153" s="175" t="s">
        <v>224</v>
      </c>
      <c r="H153" s="723">
        <v>8</v>
      </c>
    </row>
    <row r="154" spans="1:8" x14ac:dyDescent="0.25">
      <c r="A154" s="170" t="s">
        <v>148</v>
      </c>
      <c r="B154" s="170" t="s">
        <v>270</v>
      </c>
      <c r="C154" s="171" t="s">
        <v>217</v>
      </c>
      <c r="D154" s="200">
        <v>258</v>
      </c>
      <c r="E154" s="175" t="s">
        <v>227</v>
      </c>
      <c r="F154" s="175" t="s">
        <v>227</v>
      </c>
      <c r="G154" s="175" t="s">
        <v>224</v>
      </c>
      <c r="H154" s="723">
        <v>32.5</v>
      </c>
    </row>
    <row r="155" spans="1:8" x14ac:dyDescent="0.25">
      <c r="A155" s="170" t="s">
        <v>148</v>
      </c>
      <c r="B155" s="170" t="s">
        <v>524</v>
      </c>
      <c r="C155" s="171" t="s">
        <v>217</v>
      </c>
      <c r="D155" s="200">
        <v>286</v>
      </c>
      <c r="E155" s="219" t="s">
        <v>233</v>
      </c>
      <c r="F155" s="219" t="s">
        <v>233</v>
      </c>
      <c r="G155" s="219" t="s">
        <v>233</v>
      </c>
      <c r="H155" s="729" t="s">
        <v>233</v>
      </c>
    </row>
    <row r="156" spans="1:8" x14ac:dyDescent="0.25">
      <c r="A156" s="170" t="s">
        <v>148</v>
      </c>
      <c r="B156" s="170" t="s">
        <v>525</v>
      </c>
      <c r="C156" s="171" t="s">
        <v>218</v>
      </c>
      <c r="D156" s="200">
        <v>368</v>
      </c>
      <c r="E156" s="175" t="s">
        <v>227</v>
      </c>
      <c r="F156" s="175" t="s">
        <v>227</v>
      </c>
      <c r="G156" s="175" t="s">
        <v>224</v>
      </c>
      <c r="H156" s="729" t="s">
        <v>233</v>
      </c>
    </row>
    <row r="157" spans="1:8" x14ac:dyDescent="0.25">
      <c r="A157" s="170" t="s">
        <v>148</v>
      </c>
      <c r="B157" s="170" t="s">
        <v>526</v>
      </c>
      <c r="C157" s="199" t="s">
        <v>217</v>
      </c>
      <c r="D157" s="200">
        <v>344</v>
      </c>
      <c r="E157" s="175" t="s">
        <v>227</v>
      </c>
      <c r="F157" s="175" t="s">
        <v>227</v>
      </c>
      <c r="G157" s="175" t="s">
        <v>224</v>
      </c>
      <c r="H157" s="723">
        <v>20</v>
      </c>
    </row>
    <row r="158" spans="1:8" x14ac:dyDescent="0.25">
      <c r="A158" s="170" t="s">
        <v>256</v>
      </c>
      <c r="B158" s="170" t="s">
        <v>527</v>
      </c>
      <c r="C158" s="199" t="s">
        <v>217</v>
      </c>
      <c r="D158" s="200">
        <v>32</v>
      </c>
      <c r="E158" s="175" t="s">
        <v>227</v>
      </c>
      <c r="F158" s="175" t="s">
        <v>227</v>
      </c>
      <c r="G158" s="175" t="s">
        <v>224</v>
      </c>
      <c r="H158" s="723">
        <v>3</v>
      </c>
    </row>
    <row r="159" spans="1:8" x14ac:dyDescent="0.25">
      <c r="A159" s="170" t="s">
        <v>178</v>
      </c>
      <c r="B159" s="170" t="s">
        <v>250</v>
      </c>
      <c r="C159" s="199" t="s">
        <v>222</v>
      </c>
      <c r="D159" s="200">
        <v>435</v>
      </c>
      <c r="E159" s="175" t="s">
        <v>227</v>
      </c>
      <c r="F159" s="175" t="s">
        <v>227</v>
      </c>
      <c r="G159" s="175" t="s">
        <v>224</v>
      </c>
      <c r="H159" s="723">
        <v>13.3</v>
      </c>
    </row>
    <row r="160" spans="1:8" x14ac:dyDescent="0.25">
      <c r="A160" s="170" t="s">
        <v>178</v>
      </c>
      <c r="B160" s="170" t="s">
        <v>187</v>
      </c>
      <c r="C160" s="220" t="s">
        <v>606</v>
      </c>
      <c r="D160" s="200">
        <v>285</v>
      </c>
      <c r="E160" s="175" t="s">
        <v>227</v>
      </c>
      <c r="F160" s="175" t="s">
        <v>227</v>
      </c>
      <c r="G160" s="175" t="s">
        <v>224</v>
      </c>
      <c r="H160" s="723">
        <v>10</v>
      </c>
    </row>
    <row r="161" spans="1:8" x14ac:dyDescent="0.25">
      <c r="A161" s="170" t="s">
        <v>178</v>
      </c>
      <c r="B161" s="170" t="s">
        <v>191</v>
      </c>
      <c r="C161" s="220" t="s">
        <v>223</v>
      </c>
      <c r="D161" s="200">
        <v>355</v>
      </c>
      <c r="E161" s="175" t="s">
        <v>227</v>
      </c>
      <c r="F161" s="175" t="s">
        <v>227</v>
      </c>
      <c r="G161" s="175" t="s">
        <v>224</v>
      </c>
      <c r="H161" s="723">
        <v>12</v>
      </c>
    </row>
    <row r="162" spans="1:8" x14ac:dyDescent="0.25">
      <c r="A162" s="170" t="s">
        <v>178</v>
      </c>
      <c r="B162" s="170" t="s">
        <v>197</v>
      </c>
      <c r="C162" s="171" t="s">
        <v>222</v>
      </c>
      <c r="D162" s="200">
        <v>387</v>
      </c>
      <c r="E162" s="175" t="s">
        <v>227</v>
      </c>
      <c r="F162" s="175" t="s">
        <v>227</v>
      </c>
      <c r="G162" s="175" t="s">
        <v>224</v>
      </c>
      <c r="H162" s="723">
        <v>15</v>
      </c>
    </row>
    <row r="163" spans="1:8" x14ac:dyDescent="0.25">
      <c r="A163" s="170" t="s">
        <v>364</v>
      </c>
      <c r="B163" s="170" t="s">
        <v>271</v>
      </c>
      <c r="C163" s="171" t="s">
        <v>216</v>
      </c>
      <c r="D163" s="200">
        <v>287</v>
      </c>
      <c r="E163" s="175" t="s">
        <v>227</v>
      </c>
      <c r="F163" s="175" t="s">
        <v>224</v>
      </c>
      <c r="G163" s="175" t="s">
        <v>227</v>
      </c>
      <c r="H163" s="723">
        <v>15</v>
      </c>
    </row>
    <row r="164" spans="1:8" x14ac:dyDescent="0.25">
      <c r="A164" s="170" t="s">
        <v>364</v>
      </c>
      <c r="B164" s="170" t="s">
        <v>326</v>
      </c>
      <c r="C164" s="171" t="s">
        <v>216</v>
      </c>
      <c r="D164" s="200">
        <v>332</v>
      </c>
      <c r="E164" s="175" t="s">
        <v>227</v>
      </c>
      <c r="F164" s="175" t="s">
        <v>227</v>
      </c>
      <c r="G164" s="175" t="s">
        <v>224</v>
      </c>
      <c r="H164" s="723">
        <v>6</v>
      </c>
    </row>
    <row r="165" spans="1:8" x14ac:dyDescent="0.25">
      <c r="A165" s="170" t="s">
        <v>364</v>
      </c>
      <c r="B165" s="170" t="s">
        <v>528</v>
      </c>
      <c r="C165" s="171" t="s">
        <v>216</v>
      </c>
      <c r="D165" s="200">
        <v>312</v>
      </c>
      <c r="E165" s="175" t="s">
        <v>227</v>
      </c>
      <c r="F165" s="175" t="s">
        <v>224</v>
      </c>
      <c r="G165" s="175" t="s">
        <v>227</v>
      </c>
      <c r="H165" s="729" t="s">
        <v>233</v>
      </c>
    </row>
    <row r="166" spans="1:8" x14ac:dyDescent="0.25">
      <c r="A166" s="170" t="s">
        <v>364</v>
      </c>
      <c r="B166" s="170" t="s">
        <v>190</v>
      </c>
      <c r="C166" s="171" t="s">
        <v>216</v>
      </c>
      <c r="D166" s="200">
        <v>293</v>
      </c>
      <c r="E166" s="175" t="s">
        <v>227</v>
      </c>
      <c r="F166" s="175" t="s">
        <v>227</v>
      </c>
      <c r="G166" s="175" t="s">
        <v>224</v>
      </c>
      <c r="H166" s="723">
        <v>11.5</v>
      </c>
    </row>
    <row r="167" spans="1:8" x14ac:dyDescent="0.25">
      <c r="A167" s="170" t="s">
        <v>364</v>
      </c>
      <c r="B167" s="170" t="s">
        <v>327</v>
      </c>
      <c r="C167" s="171" t="s">
        <v>216</v>
      </c>
      <c r="D167" s="200">
        <v>326</v>
      </c>
      <c r="E167" s="175" t="s">
        <v>227</v>
      </c>
      <c r="F167" s="175" t="s">
        <v>227</v>
      </c>
      <c r="G167" s="175" t="s">
        <v>224</v>
      </c>
      <c r="H167" s="723">
        <v>8.5</v>
      </c>
    </row>
    <row r="168" spans="1:8" x14ac:dyDescent="0.25">
      <c r="A168" s="170" t="s">
        <v>364</v>
      </c>
      <c r="B168" s="170" t="s">
        <v>530</v>
      </c>
      <c r="C168" s="171" t="s">
        <v>217</v>
      </c>
      <c r="D168" s="200">
        <v>442</v>
      </c>
      <c r="E168" s="175" t="s">
        <v>227</v>
      </c>
      <c r="F168" s="175" t="s">
        <v>227</v>
      </c>
      <c r="G168" s="175" t="s">
        <v>224</v>
      </c>
      <c r="H168" s="723">
        <v>24</v>
      </c>
    </row>
    <row r="169" spans="1:8" x14ac:dyDescent="0.25">
      <c r="A169" s="170" t="s">
        <v>184</v>
      </c>
      <c r="B169" s="170" t="s">
        <v>531</v>
      </c>
      <c r="C169" s="171" t="s">
        <v>216</v>
      </c>
      <c r="D169" s="200">
        <v>10</v>
      </c>
      <c r="E169" s="175" t="s">
        <v>227</v>
      </c>
      <c r="F169" s="175" t="s">
        <v>227</v>
      </c>
      <c r="G169" s="175" t="s">
        <v>224</v>
      </c>
      <c r="H169" s="723">
        <v>0.5</v>
      </c>
    </row>
    <row r="170" spans="1:8" x14ac:dyDescent="0.25">
      <c r="A170" s="170" t="s">
        <v>184</v>
      </c>
      <c r="B170" s="170" t="s">
        <v>199</v>
      </c>
      <c r="C170" s="171" t="s">
        <v>216</v>
      </c>
      <c r="D170" s="200">
        <v>296</v>
      </c>
      <c r="E170" s="175" t="s">
        <v>227</v>
      </c>
      <c r="F170" s="175" t="s">
        <v>227</v>
      </c>
      <c r="G170" s="175" t="s">
        <v>224</v>
      </c>
      <c r="H170" s="723">
        <v>4</v>
      </c>
    </row>
    <row r="171" spans="1:8" x14ac:dyDescent="0.25">
      <c r="A171" s="170" t="s">
        <v>149</v>
      </c>
      <c r="B171" s="170" t="s">
        <v>328</v>
      </c>
      <c r="C171" s="171" t="s">
        <v>216</v>
      </c>
      <c r="D171" s="200">
        <v>290</v>
      </c>
      <c r="E171" s="175" t="s">
        <v>227</v>
      </c>
      <c r="F171" s="175" t="s">
        <v>227</v>
      </c>
      <c r="G171" s="175" t="s">
        <v>224</v>
      </c>
      <c r="H171" s="723">
        <v>0</v>
      </c>
    </row>
    <row r="172" spans="1:8" x14ac:dyDescent="0.25">
      <c r="A172" s="170" t="s">
        <v>149</v>
      </c>
      <c r="B172" s="170" t="s">
        <v>329</v>
      </c>
      <c r="C172" s="171" t="s">
        <v>216</v>
      </c>
      <c r="D172" s="200">
        <v>301</v>
      </c>
      <c r="E172" s="175" t="s">
        <v>227</v>
      </c>
      <c r="F172" s="175" t="s">
        <v>227</v>
      </c>
      <c r="G172" s="175" t="s">
        <v>224</v>
      </c>
      <c r="H172" s="723">
        <v>0</v>
      </c>
    </row>
    <row r="173" spans="1:8" x14ac:dyDescent="0.25">
      <c r="A173" s="170" t="s">
        <v>149</v>
      </c>
      <c r="B173" s="170" t="s">
        <v>330</v>
      </c>
      <c r="C173" s="171" t="s">
        <v>216</v>
      </c>
      <c r="D173" s="200">
        <v>303</v>
      </c>
      <c r="E173" s="175" t="s">
        <v>227</v>
      </c>
      <c r="F173" s="175" t="s">
        <v>227</v>
      </c>
      <c r="G173" s="175" t="s">
        <v>224</v>
      </c>
      <c r="H173" s="723">
        <v>0</v>
      </c>
    </row>
    <row r="174" spans="1:8" x14ac:dyDescent="0.25">
      <c r="A174" s="170" t="s">
        <v>149</v>
      </c>
      <c r="B174" s="170" t="s">
        <v>331</v>
      </c>
      <c r="C174" s="171" t="s">
        <v>216</v>
      </c>
      <c r="D174" s="221">
        <v>5</v>
      </c>
      <c r="E174" s="175" t="s">
        <v>480</v>
      </c>
      <c r="F174" s="175" t="s">
        <v>227</v>
      </c>
      <c r="G174" s="175" t="s">
        <v>227</v>
      </c>
      <c r="H174" s="723">
        <v>0</v>
      </c>
    </row>
    <row r="175" spans="1:8" x14ac:dyDescent="0.25">
      <c r="A175" s="170" t="s">
        <v>149</v>
      </c>
      <c r="B175" s="170" t="s">
        <v>332</v>
      </c>
      <c r="C175" s="171" t="s">
        <v>216</v>
      </c>
      <c r="D175" s="200">
        <v>16</v>
      </c>
      <c r="E175" s="175" t="s">
        <v>227</v>
      </c>
      <c r="F175" s="175" t="s">
        <v>227</v>
      </c>
      <c r="G175" s="175" t="s">
        <v>224</v>
      </c>
      <c r="H175" s="723">
        <v>0</v>
      </c>
    </row>
    <row r="176" spans="1:8" x14ac:dyDescent="0.25">
      <c r="A176" s="170" t="s">
        <v>181</v>
      </c>
      <c r="B176" s="170" t="s">
        <v>532</v>
      </c>
      <c r="C176" s="171" t="s">
        <v>220</v>
      </c>
      <c r="D176" s="200">
        <v>192</v>
      </c>
      <c r="E176" s="175" t="s">
        <v>227</v>
      </c>
      <c r="F176" s="175" t="s">
        <v>227</v>
      </c>
      <c r="G176" s="175" t="s">
        <v>224</v>
      </c>
      <c r="H176" s="723">
        <v>20</v>
      </c>
    </row>
    <row r="177" spans="1:9" x14ac:dyDescent="0.25">
      <c r="A177" s="170" t="s">
        <v>181</v>
      </c>
      <c r="B177" s="170" t="s">
        <v>533</v>
      </c>
      <c r="C177" s="171" t="s">
        <v>221</v>
      </c>
      <c r="D177" s="200">
        <v>186</v>
      </c>
      <c r="E177" s="175" t="s">
        <v>227</v>
      </c>
      <c r="F177" s="175" t="s">
        <v>227</v>
      </c>
      <c r="G177" s="175" t="s">
        <v>224</v>
      </c>
      <c r="H177" s="723">
        <v>5</v>
      </c>
    </row>
    <row r="178" spans="1:9" x14ac:dyDescent="0.25">
      <c r="A178" s="170" t="s">
        <v>179</v>
      </c>
      <c r="B178" s="170" t="s">
        <v>251</v>
      </c>
      <c r="C178" s="171" t="s">
        <v>216</v>
      </c>
      <c r="D178" s="200">
        <v>212</v>
      </c>
      <c r="E178" s="175" t="s">
        <v>227</v>
      </c>
      <c r="F178" s="175" t="s">
        <v>227</v>
      </c>
      <c r="G178" s="175" t="s">
        <v>224</v>
      </c>
      <c r="H178" s="723">
        <v>16</v>
      </c>
    </row>
    <row r="179" spans="1:9" x14ac:dyDescent="0.25">
      <c r="A179" s="170" t="s">
        <v>183</v>
      </c>
      <c r="B179" s="170" t="s">
        <v>333</v>
      </c>
      <c r="C179" s="171" t="s">
        <v>216</v>
      </c>
      <c r="D179" s="200">
        <v>311</v>
      </c>
      <c r="E179" s="175" t="s">
        <v>227</v>
      </c>
      <c r="F179" s="175" t="s">
        <v>227</v>
      </c>
      <c r="G179" s="175" t="s">
        <v>224</v>
      </c>
      <c r="H179" s="723">
        <v>6</v>
      </c>
    </row>
    <row r="180" spans="1:9" x14ac:dyDescent="0.25">
      <c r="A180" s="170" t="s">
        <v>183</v>
      </c>
      <c r="B180" s="170" t="s">
        <v>534</v>
      </c>
      <c r="C180" s="171" t="s">
        <v>216</v>
      </c>
      <c r="D180" s="200">
        <v>307</v>
      </c>
      <c r="E180" s="175" t="s">
        <v>227</v>
      </c>
      <c r="F180" s="175" t="s">
        <v>227</v>
      </c>
      <c r="G180" s="175" t="s">
        <v>224</v>
      </c>
      <c r="H180" s="723">
        <v>17</v>
      </c>
    </row>
    <row r="181" spans="1:9" x14ac:dyDescent="0.25">
      <c r="A181" s="170" t="s">
        <v>183</v>
      </c>
      <c r="B181" s="170" t="s">
        <v>196</v>
      </c>
      <c r="C181" s="171" t="s">
        <v>216</v>
      </c>
      <c r="D181" s="200">
        <v>329</v>
      </c>
      <c r="E181" s="175" t="s">
        <v>227</v>
      </c>
      <c r="F181" s="175" t="s">
        <v>227</v>
      </c>
      <c r="G181" s="175" t="s">
        <v>224</v>
      </c>
      <c r="H181" s="723">
        <v>4</v>
      </c>
    </row>
    <row r="182" spans="1:9" x14ac:dyDescent="0.25">
      <c r="A182" s="170" t="s">
        <v>257</v>
      </c>
      <c r="B182" s="170" t="s">
        <v>535</v>
      </c>
      <c r="C182" s="171" t="s">
        <v>222</v>
      </c>
      <c r="D182" s="200">
        <v>434</v>
      </c>
      <c r="E182" s="175" t="s">
        <v>227</v>
      </c>
      <c r="F182" s="175" t="s">
        <v>227</v>
      </c>
      <c r="G182" s="175" t="s">
        <v>224</v>
      </c>
      <c r="H182" s="723">
        <v>22</v>
      </c>
    </row>
    <row r="183" spans="1:9" x14ac:dyDescent="0.25">
      <c r="A183" s="170" t="s">
        <v>365</v>
      </c>
      <c r="B183" s="170" t="s">
        <v>334</v>
      </c>
      <c r="C183" s="171" t="s">
        <v>216</v>
      </c>
      <c r="D183" s="200">
        <v>37</v>
      </c>
      <c r="E183" s="175" t="s">
        <v>227</v>
      </c>
      <c r="F183" s="175" t="s">
        <v>227</v>
      </c>
      <c r="G183" s="175" t="s">
        <v>224</v>
      </c>
      <c r="H183" s="723">
        <v>3</v>
      </c>
    </row>
    <row r="184" spans="1:9" x14ac:dyDescent="0.25">
      <c r="A184" s="170" t="s">
        <v>365</v>
      </c>
      <c r="B184" s="170" t="s">
        <v>335</v>
      </c>
      <c r="C184" s="171" t="s">
        <v>216</v>
      </c>
      <c r="D184" s="200">
        <v>304</v>
      </c>
      <c r="E184" s="175" t="s">
        <v>227</v>
      </c>
      <c r="F184" s="175" t="s">
        <v>227</v>
      </c>
      <c r="G184" s="175" t="s">
        <v>224</v>
      </c>
      <c r="H184" s="723">
        <v>20</v>
      </c>
    </row>
    <row r="185" spans="1:9" x14ac:dyDescent="0.25">
      <c r="A185" s="170" t="s">
        <v>365</v>
      </c>
      <c r="B185" s="170" t="s">
        <v>536</v>
      </c>
      <c r="C185" s="171" t="s">
        <v>216</v>
      </c>
      <c r="D185" s="200">
        <v>390</v>
      </c>
      <c r="E185" s="175" t="s">
        <v>227</v>
      </c>
      <c r="F185" s="175" t="s">
        <v>227</v>
      </c>
      <c r="G185" s="175" t="s">
        <v>224</v>
      </c>
      <c r="H185" s="723">
        <v>25</v>
      </c>
    </row>
    <row r="186" spans="1:9" x14ac:dyDescent="0.25">
      <c r="A186" s="170" t="s">
        <v>174</v>
      </c>
      <c r="B186" s="170" t="s">
        <v>202</v>
      </c>
      <c r="C186" s="171" t="s">
        <v>219</v>
      </c>
      <c r="D186" s="200">
        <v>166</v>
      </c>
      <c r="E186" s="175" t="s">
        <v>227</v>
      </c>
      <c r="F186" s="175" t="s">
        <v>227</v>
      </c>
      <c r="G186" s="175" t="s">
        <v>224</v>
      </c>
      <c r="H186" s="723">
        <v>0</v>
      </c>
    </row>
    <row r="187" spans="1:9" x14ac:dyDescent="0.25">
      <c r="A187" s="170" t="s">
        <v>174</v>
      </c>
      <c r="B187" s="170" t="s">
        <v>173</v>
      </c>
      <c r="C187" s="171" t="s">
        <v>275</v>
      </c>
      <c r="D187" s="200">
        <v>187</v>
      </c>
      <c r="E187" s="175" t="s">
        <v>227</v>
      </c>
      <c r="F187" s="175" t="s">
        <v>227</v>
      </c>
      <c r="G187" s="175" t="s">
        <v>224</v>
      </c>
      <c r="H187" s="723">
        <v>0</v>
      </c>
    </row>
    <row r="188" spans="1:9" x14ac:dyDescent="0.25">
      <c r="A188" s="170" t="s">
        <v>174</v>
      </c>
      <c r="B188" s="170" t="s">
        <v>175</v>
      </c>
      <c r="C188" s="171" t="s">
        <v>273</v>
      </c>
      <c r="D188" s="200">
        <v>164</v>
      </c>
      <c r="E188" s="175" t="s">
        <v>227</v>
      </c>
      <c r="F188" s="175" t="s">
        <v>227</v>
      </c>
      <c r="G188" s="175" t="s">
        <v>224</v>
      </c>
      <c r="H188" s="723">
        <v>0</v>
      </c>
    </row>
    <row r="189" spans="1:9" x14ac:dyDescent="0.25">
      <c r="A189" s="170" t="s">
        <v>366</v>
      </c>
      <c r="B189" s="170" t="s">
        <v>502</v>
      </c>
      <c r="C189" s="171" t="s">
        <v>216</v>
      </c>
      <c r="D189" s="200">
        <v>350</v>
      </c>
      <c r="E189" s="175" t="s">
        <v>227</v>
      </c>
      <c r="F189" s="175" t="s">
        <v>227</v>
      </c>
      <c r="G189" s="175" t="s">
        <v>224</v>
      </c>
      <c r="H189" s="723">
        <v>15</v>
      </c>
    </row>
    <row r="190" spans="1:9" s="136" customFormat="1" x14ac:dyDescent="0.25">
      <c r="A190" s="179"/>
      <c r="B190" s="180"/>
      <c r="C190" s="205" t="s">
        <v>7</v>
      </c>
      <c r="D190" s="182">
        <f>SUM(D128:D189)</f>
        <v>15601</v>
      </c>
      <c r="E190" s="185">
        <v>1</v>
      </c>
      <c r="F190" s="185">
        <v>3</v>
      </c>
      <c r="G190" s="185">
        <v>51</v>
      </c>
      <c r="H190" s="183">
        <f>SUM(H128:H189)</f>
        <v>542.79999999999995</v>
      </c>
      <c r="I190" s="4"/>
    </row>
    <row r="191" spans="1:9" s="142" customFormat="1" x14ac:dyDescent="0.25">
      <c r="A191" s="186"/>
      <c r="B191" s="187"/>
      <c r="C191" s="188" t="s">
        <v>8</v>
      </c>
      <c r="D191" s="182">
        <f>AVERAGE(D128:D189)</f>
        <v>251.62903225806451</v>
      </c>
      <c r="E191" s="185"/>
      <c r="F191" s="185"/>
      <c r="G191" s="185"/>
      <c r="H191" s="727">
        <f>AVERAGE(H128:H189)</f>
        <v>9.6928571428571413</v>
      </c>
      <c r="I191" s="4"/>
    </row>
    <row r="192" spans="1:9" s="142" customFormat="1" x14ac:dyDescent="0.25">
      <c r="A192" s="186"/>
      <c r="B192" s="187"/>
      <c r="C192" s="188" t="s">
        <v>9</v>
      </c>
      <c r="D192" s="182">
        <f>MEDIAN(D128:D189)</f>
        <v>288.5</v>
      </c>
      <c r="E192" s="185"/>
      <c r="F192" s="185"/>
      <c r="G192" s="185"/>
      <c r="H192" s="727">
        <f>MEDIAN(H128:H189)</f>
        <v>8.75</v>
      </c>
      <c r="I192" s="4"/>
    </row>
    <row r="193" spans="1:9" s="142" customFormat="1" x14ac:dyDescent="0.25">
      <c r="A193" s="191"/>
      <c r="B193" s="192"/>
      <c r="C193" s="188" t="s">
        <v>30</v>
      </c>
      <c r="D193" s="193"/>
      <c r="E193" s="195">
        <f>+E190/E127</f>
        <v>1.8181818181818181E-2</v>
      </c>
      <c r="F193" s="195">
        <f>+F190/F127</f>
        <v>5.4545454545454543E-2</v>
      </c>
      <c r="G193" s="195">
        <f>+G190/G127</f>
        <v>0.92727272727272725</v>
      </c>
      <c r="H193" s="727"/>
      <c r="I193" s="4"/>
    </row>
    <row r="194" spans="1:9" x14ac:dyDescent="0.25">
      <c r="C194" s="223"/>
    </row>
    <row r="195" spans="1:9" x14ac:dyDescent="0.25">
      <c r="C195" s="223"/>
    </row>
  </sheetData>
  <sheetProtection sheet="1" objects="1" scenarios="1"/>
  <mergeCells count="24">
    <mergeCell ref="A127:C127"/>
    <mergeCell ref="E70:G70"/>
    <mergeCell ref="H70:H71"/>
    <mergeCell ref="A72:C72"/>
    <mergeCell ref="E84:G84"/>
    <mergeCell ref="H84:H85"/>
    <mergeCell ref="A86:C86"/>
    <mergeCell ref="E108:G108"/>
    <mergeCell ref="H108:H109"/>
    <mergeCell ref="A110:C110"/>
    <mergeCell ref="E125:G125"/>
    <mergeCell ref="H125:H126"/>
    <mergeCell ref="A56:C56"/>
    <mergeCell ref="E5:G5"/>
    <mergeCell ref="H5:H6"/>
    <mergeCell ref="B14:D14"/>
    <mergeCell ref="E18:G18"/>
    <mergeCell ref="H18:H19"/>
    <mergeCell ref="A20:C20"/>
    <mergeCell ref="E23:G23"/>
    <mergeCell ref="H23:H24"/>
    <mergeCell ref="A25:C25"/>
    <mergeCell ref="E54:G54"/>
    <mergeCell ref="H54:H5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0BDA4-244B-43B7-99F1-1CF5E9356FD2}">
  <dimension ref="A1:AP201"/>
  <sheetViews>
    <sheetView topLeftCell="A4" workbookViewId="0">
      <pane ySplit="17" topLeftCell="A21" activePane="bottomLeft" state="frozen"/>
      <selection activeCell="A20" sqref="A20:XFD20"/>
      <selection pane="bottomLeft" activeCell="A7" sqref="A7"/>
    </sheetView>
  </sheetViews>
  <sheetFormatPr defaultRowHeight="15" x14ac:dyDescent="0.25"/>
  <cols>
    <col min="1" max="1" width="14.42578125" style="4" customWidth="1"/>
    <col min="2" max="2" width="45.85546875" style="4" customWidth="1"/>
    <col min="3" max="4" width="11.42578125" style="4" customWidth="1"/>
    <col min="5" max="5" width="12.28515625" style="4" customWidth="1"/>
    <col min="6" max="6" width="13.28515625" style="4" customWidth="1"/>
    <col min="7" max="7" width="14.140625" style="4" customWidth="1"/>
    <col min="8" max="8" width="12.7109375" style="4" customWidth="1"/>
    <col min="9" max="9" width="14.28515625" style="4" customWidth="1"/>
    <col min="10" max="10" width="10.42578125" style="4" customWidth="1"/>
    <col min="11" max="11" width="11.140625" style="4" customWidth="1"/>
    <col min="12" max="12" width="10.28515625" style="4" customWidth="1"/>
    <col min="13" max="13" width="12.140625" style="4" customWidth="1"/>
    <col min="14" max="16384" width="9.140625" style="4"/>
  </cols>
  <sheetData>
    <row r="1" spans="1:14" s="5" customFormat="1" ht="15.75" x14ac:dyDescent="0.25">
      <c r="A1" s="2" t="s">
        <v>354</v>
      </c>
      <c r="B1" s="3"/>
      <c r="C1" s="4"/>
      <c r="D1" s="4"/>
      <c r="E1" s="4"/>
      <c r="F1" s="4"/>
      <c r="G1" s="4"/>
      <c r="H1" s="4"/>
    </row>
    <row r="2" spans="1:14" s="6" customFormat="1" ht="15.75" x14ac:dyDescent="0.25">
      <c r="A2" s="2" t="s">
        <v>100</v>
      </c>
      <c r="D2" s="7"/>
      <c r="E2" s="7"/>
      <c r="F2" s="7"/>
      <c r="G2" s="7"/>
      <c r="H2" s="7"/>
      <c r="I2" s="11"/>
      <c r="J2" s="11"/>
      <c r="K2" s="7"/>
      <c r="L2" s="7"/>
      <c r="M2" s="7"/>
      <c r="N2" s="7"/>
    </row>
    <row r="3" spans="1:14" s="1" customFormat="1" ht="12.75" x14ac:dyDescent="0.2">
      <c r="A3" s="284" t="s">
        <v>24</v>
      </c>
      <c r="D3" s="13"/>
      <c r="E3" s="13"/>
      <c r="F3" s="13"/>
      <c r="G3" s="13"/>
      <c r="H3" s="13"/>
      <c r="I3" s="11"/>
      <c r="J3" s="11"/>
      <c r="L3" s="1" t="s">
        <v>227</v>
      </c>
    </row>
    <row r="4" spans="1:14" s="1" customFormat="1" ht="27" customHeight="1" x14ac:dyDescent="0.25">
      <c r="A4" s="730"/>
      <c r="B4" s="731"/>
      <c r="C4" s="732"/>
      <c r="D4" s="732"/>
      <c r="E4" s="732"/>
      <c r="F4" s="732"/>
      <c r="G4" s="733"/>
      <c r="H4" s="733"/>
      <c r="I4" s="733"/>
      <c r="J4" s="733"/>
      <c r="K4" s="732"/>
    </row>
    <row r="5" spans="1:14" s="1" customFormat="1" ht="12.75" x14ac:dyDescent="0.2">
      <c r="D5" s="13"/>
      <c r="E5" s="13"/>
      <c r="F5" s="11"/>
      <c r="G5" s="13"/>
      <c r="H5" s="13"/>
      <c r="I5" s="13"/>
      <c r="J5" s="13"/>
      <c r="K5" s="13"/>
    </row>
    <row r="6" spans="1:14" s="1" customFormat="1" ht="15" customHeight="1" x14ac:dyDescent="0.25">
      <c r="A6" s="14" t="s">
        <v>4</v>
      </c>
      <c r="B6" s="15"/>
      <c r="C6" s="734" t="s">
        <v>101</v>
      </c>
      <c r="D6" s="735" t="s">
        <v>102</v>
      </c>
      <c r="E6" s="735"/>
      <c r="F6" s="735"/>
      <c r="G6" s="735"/>
      <c r="H6" s="735" t="s">
        <v>103</v>
      </c>
      <c r="I6" s="735"/>
      <c r="J6" s="20"/>
      <c r="K6" s="736"/>
    </row>
    <row r="7" spans="1:14" s="1" customFormat="1" ht="51" x14ac:dyDescent="0.2">
      <c r="B7" s="26" t="s">
        <v>6</v>
      </c>
      <c r="C7" s="737"/>
      <c r="D7" s="33" t="s">
        <v>104</v>
      </c>
      <c r="E7" s="33" t="s">
        <v>105</v>
      </c>
      <c r="F7" s="33" t="s">
        <v>106</v>
      </c>
      <c r="G7" s="33" t="s">
        <v>107</v>
      </c>
      <c r="H7" s="301" t="s">
        <v>108</v>
      </c>
      <c r="I7" s="33" t="s">
        <v>109</v>
      </c>
      <c r="J7" s="33" t="s">
        <v>110</v>
      </c>
    </row>
    <row r="8" spans="1:14" s="1" customFormat="1" x14ac:dyDescent="0.25">
      <c r="B8" s="34" t="s">
        <v>290</v>
      </c>
      <c r="C8" s="738">
        <f t="shared" ref="C8:J8" si="0">E50</f>
        <v>0.73333333333333328</v>
      </c>
      <c r="D8" s="738">
        <f t="shared" si="0"/>
        <v>0.47058823529411764</v>
      </c>
      <c r="E8" s="738">
        <f t="shared" si="0"/>
        <v>0.3888888888888889</v>
      </c>
      <c r="F8" s="738">
        <f t="shared" si="0"/>
        <v>0.35294117647058826</v>
      </c>
      <c r="G8" s="738">
        <f t="shared" si="0"/>
        <v>0</v>
      </c>
      <c r="H8" s="738">
        <f t="shared" si="0"/>
        <v>0.29411764705882354</v>
      </c>
      <c r="I8" s="738">
        <f t="shared" si="0"/>
        <v>0.17647058823529413</v>
      </c>
      <c r="J8" s="738">
        <f t="shared" si="0"/>
        <v>0</v>
      </c>
    </row>
    <row r="9" spans="1:14" s="1" customFormat="1" x14ac:dyDescent="0.25">
      <c r="B9" s="34" t="s">
        <v>668</v>
      </c>
      <c r="C9" s="738">
        <f t="shared" ref="C9:J9" si="1">E66</f>
        <v>0.33333333333333331</v>
      </c>
      <c r="D9" s="738">
        <f t="shared" si="1"/>
        <v>0</v>
      </c>
      <c r="E9" s="738">
        <f t="shared" si="1"/>
        <v>0.66666666666666663</v>
      </c>
      <c r="F9" s="738">
        <f t="shared" si="1"/>
        <v>0.4</v>
      </c>
      <c r="G9" s="738">
        <f t="shared" si="1"/>
        <v>0.16666666666666666</v>
      </c>
      <c r="H9" s="738">
        <f t="shared" si="1"/>
        <v>0.16666666666666666</v>
      </c>
      <c r="I9" s="738">
        <f t="shared" si="1"/>
        <v>0.16666666666666666</v>
      </c>
      <c r="J9" s="738">
        <f t="shared" si="1"/>
        <v>0.16666666666666666</v>
      </c>
      <c r="K9" s="1" t="s">
        <v>227</v>
      </c>
    </row>
    <row r="10" spans="1:14" s="1" customFormat="1" x14ac:dyDescent="0.25">
      <c r="B10" s="34" t="s">
        <v>669</v>
      </c>
      <c r="C10" s="41">
        <f t="shared" ref="C10:J10" si="2">E80</f>
        <v>1</v>
      </c>
      <c r="D10" s="41">
        <f t="shared" si="2"/>
        <v>0.66666666666666663</v>
      </c>
      <c r="E10" s="41">
        <f t="shared" si="2"/>
        <v>0.66666666666666663</v>
      </c>
      <c r="F10" s="41">
        <f t="shared" si="2"/>
        <v>0.66666666666666663</v>
      </c>
      <c r="G10" s="41">
        <f t="shared" si="2"/>
        <v>0.33333333333333331</v>
      </c>
      <c r="H10" s="41">
        <f t="shared" si="2"/>
        <v>0.66666666666666663</v>
      </c>
      <c r="I10" s="41">
        <f t="shared" si="2"/>
        <v>0.66666666666666663</v>
      </c>
      <c r="J10" s="41">
        <f t="shared" si="2"/>
        <v>0</v>
      </c>
    </row>
    <row r="11" spans="1:14" s="1" customFormat="1" x14ac:dyDescent="0.25">
      <c r="B11" s="34" t="s">
        <v>673</v>
      </c>
      <c r="C11" s="738">
        <f t="shared" ref="C11:J11" si="3">E104</f>
        <v>0.66666666666666663</v>
      </c>
      <c r="D11" s="738">
        <f t="shared" si="3"/>
        <v>0.30769230769230771</v>
      </c>
      <c r="E11" s="738">
        <f t="shared" si="3"/>
        <v>0.53846153846153844</v>
      </c>
      <c r="F11" s="738">
        <f t="shared" si="3"/>
        <v>0.30769230769230771</v>
      </c>
      <c r="G11" s="738">
        <f t="shared" si="3"/>
        <v>0.15384615384615385</v>
      </c>
      <c r="H11" s="738">
        <f t="shared" si="3"/>
        <v>0.23076923076923078</v>
      </c>
      <c r="I11" s="738">
        <f t="shared" si="3"/>
        <v>0</v>
      </c>
      <c r="J11" s="738">
        <f t="shared" si="3"/>
        <v>0</v>
      </c>
    </row>
    <row r="12" spans="1:14" s="1" customFormat="1" x14ac:dyDescent="0.25">
      <c r="B12" s="34" t="s">
        <v>671</v>
      </c>
      <c r="C12" s="738">
        <f t="shared" ref="C12:J12" si="4">E121</f>
        <v>1</v>
      </c>
      <c r="D12" s="738">
        <f t="shared" si="4"/>
        <v>0.4</v>
      </c>
      <c r="E12" s="738">
        <f t="shared" si="4"/>
        <v>0.4</v>
      </c>
      <c r="F12" s="738">
        <f t="shared" si="4"/>
        <v>0.2</v>
      </c>
      <c r="G12" s="738">
        <f t="shared" si="4"/>
        <v>0</v>
      </c>
      <c r="H12" s="738">
        <f t="shared" si="4"/>
        <v>0</v>
      </c>
      <c r="I12" s="738">
        <f t="shared" si="4"/>
        <v>0</v>
      </c>
      <c r="J12" s="738">
        <f t="shared" si="4"/>
        <v>0.2</v>
      </c>
    </row>
    <row r="13" spans="1:14" s="1" customFormat="1" x14ac:dyDescent="0.25">
      <c r="B13" s="34" t="s">
        <v>672</v>
      </c>
      <c r="C13" s="738">
        <f t="shared" ref="C13:J13" si="5">E193</f>
        <v>0.64</v>
      </c>
      <c r="D13" s="738">
        <f t="shared" si="5"/>
        <v>0.20370370370370369</v>
      </c>
      <c r="E13" s="738">
        <f t="shared" si="5"/>
        <v>0.35185185185185186</v>
      </c>
      <c r="F13" s="738">
        <f t="shared" si="5"/>
        <v>0.22641509433962265</v>
      </c>
      <c r="G13" s="738">
        <f t="shared" si="5"/>
        <v>0.30357142857142855</v>
      </c>
      <c r="H13" s="738">
        <f t="shared" si="5"/>
        <v>0.24074074074074073</v>
      </c>
      <c r="I13" s="738">
        <f t="shared" si="5"/>
        <v>9.4339622641509441E-2</v>
      </c>
      <c r="J13" s="738">
        <f t="shared" si="5"/>
        <v>0</v>
      </c>
    </row>
    <row r="14" spans="1:14" s="1" customFormat="1" ht="12.75" x14ac:dyDescent="0.2">
      <c r="B14" s="43" t="s">
        <v>674</v>
      </c>
      <c r="C14" s="49">
        <f t="shared" ref="C14:J14" si="6">C15/E20</f>
        <v>0.66666666666666663</v>
      </c>
      <c r="D14" s="49">
        <f t="shared" si="6"/>
        <v>0.27551020408163263</v>
      </c>
      <c r="E14" s="49">
        <f t="shared" si="6"/>
        <v>0.41414141414141414</v>
      </c>
      <c r="F14" s="49">
        <f t="shared" si="6"/>
        <v>0.28125</v>
      </c>
      <c r="G14" s="49">
        <f t="shared" si="6"/>
        <v>0.21</v>
      </c>
      <c r="H14" s="49">
        <f t="shared" si="6"/>
        <v>0.24489795918367346</v>
      </c>
      <c r="I14" s="49">
        <f t="shared" si="6"/>
        <v>0.1134020618556701</v>
      </c>
      <c r="J14" s="49">
        <f t="shared" si="6"/>
        <v>2.1505376344086023E-2</v>
      </c>
    </row>
    <row r="15" spans="1:14" s="1" customFormat="1" x14ac:dyDescent="0.25">
      <c r="B15" s="739" t="s">
        <v>83</v>
      </c>
      <c r="C15" s="740">
        <f t="shared" ref="C15:J15" si="7">SUM(E47,E63,E77,E101,E118,E190)</f>
        <v>60</v>
      </c>
      <c r="D15" s="740">
        <f t="shared" si="7"/>
        <v>27</v>
      </c>
      <c r="E15" s="740">
        <f t="shared" si="7"/>
        <v>41</v>
      </c>
      <c r="F15" s="740">
        <f t="shared" si="7"/>
        <v>27</v>
      </c>
      <c r="G15" s="740">
        <f t="shared" si="7"/>
        <v>21</v>
      </c>
      <c r="H15" s="740">
        <f t="shared" si="7"/>
        <v>24</v>
      </c>
      <c r="I15" s="740">
        <f t="shared" si="7"/>
        <v>11</v>
      </c>
      <c r="J15" s="740">
        <f t="shared" si="7"/>
        <v>2</v>
      </c>
    </row>
    <row r="16" spans="1:14" s="1" customFormat="1" ht="12.75" x14ac:dyDescent="0.2">
      <c r="B16" s="87"/>
      <c r="C16" s="88"/>
      <c r="D16" s="88"/>
    </row>
    <row r="17" spans="1:14" s="1" customFormat="1" ht="12.75" x14ac:dyDescent="0.2">
      <c r="A17" s="14" t="s">
        <v>10</v>
      </c>
      <c r="B17" s="87"/>
      <c r="C17" s="88"/>
      <c r="D17" s="88"/>
    </row>
    <row r="18" spans="1:14" s="74" customFormat="1" ht="14.45" customHeight="1" x14ac:dyDescent="0.2">
      <c r="A18" s="64"/>
      <c r="B18" s="64"/>
      <c r="C18" s="64"/>
      <c r="D18" s="64"/>
      <c r="E18" s="741" t="s">
        <v>101</v>
      </c>
      <c r="F18" s="742" t="s">
        <v>102</v>
      </c>
      <c r="G18" s="742"/>
      <c r="H18" s="742"/>
      <c r="I18" s="742"/>
      <c r="J18" s="742" t="s">
        <v>103</v>
      </c>
      <c r="K18" s="742"/>
      <c r="L18" s="742"/>
      <c r="M18" s="743"/>
    </row>
    <row r="19" spans="1:14" s="74" customFormat="1" ht="39.75" customHeight="1" x14ac:dyDescent="0.2">
      <c r="A19" s="75" t="s">
        <v>11</v>
      </c>
      <c r="B19" s="75" t="s">
        <v>12</v>
      </c>
      <c r="C19" s="75" t="s">
        <v>2</v>
      </c>
      <c r="D19" s="76" t="s">
        <v>5</v>
      </c>
      <c r="E19" s="744"/>
      <c r="F19" s="745" t="s">
        <v>104</v>
      </c>
      <c r="G19" s="745" t="s">
        <v>105</v>
      </c>
      <c r="H19" s="745" t="s">
        <v>106</v>
      </c>
      <c r="I19" s="745" t="s">
        <v>107</v>
      </c>
      <c r="J19" s="746" t="s">
        <v>108</v>
      </c>
      <c r="K19" s="745" t="s">
        <v>109</v>
      </c>
      <c r="L19" s="745" t="s">
        <v>110</v>
      </c>
    </row>
    <row r="20" spans="1:14" s="74" customFormat="1" x14ac:dyDescent="0.25">
      <c r="A20" s="747" t="s">
        <v>56</v>
      </c>
      <c r="B20" s="84"/>
      <c r="C20" s="168"/>
      <c r="D20" s="748">
        <v>114</v>
      </c>
      <c r="E20" s="748">
        <f t="shared" ref="E20:L20" si="8">+E25+E56+E72+E86+E110+E127</f>
        <v>90</v>
      </c>
      <c r="F20" s="748">
        <f t="shared" si="8"/>
        <v>98</v>
      </c>
      <c r="G20" s="748">
        <f t="shared" si="8"/>
        <v>99</v>
      </c>
      <c r="H20" s="748">
        <f t="shared" si="8"/>
        <v>96</v>
      </c>
      <c r="I20" s="748">
        <f t="shared" si="8"/>
        <v>100</v>
      </c>
      <c r="J20" s="748">
        <f t="shared" si="8"/>
        <v>98</v>
      </c>
      <c r="K20" s="748">
        <f t="shared" si="8"/>
        <v>97</v>
      </c>
      <c r="L20" s="748">
        <f t="shared" si="8"/>
        <v>93</v>
      </c>
    </row>
    <row r="21" spans="1:14" s="1" customFormat="1" ht="12.75" x14ac:dyDescent="0.2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61" customFormat="1" ht="15" customHeight="1" x14ac:dyDescent="0.2">
      <c r="A22" s="154" t="s">
        <v>290</v>
      </c>
      <c r="B22" s="246"/>
      <c r="C22" s="246"/>
      <c r="D22" s="247"/>
      <c r="E22" s="715"/>
      <c r="F22" s="715"/>
      <c r="G22" s="715"/>
      <c r="H22" s="715"/>
      <c r="I22" s="443"/>
      <c r="J22" s="443"/>
      <c r="K22" s="715"/>
      <c r="L22" s="715"/>
      <c r="M22" s="749"/>
    </row>
    <row r="23" spans="1:14" s="74" customFormat="1" ht="14.45" customHeight="1" x14ac:dyDescent="0.25">
      <c r="A23" s="750"/>
      <c r="B23" s="750"/>
      <c r="C23" s="750"/>
      <c r="D23" s="750"/>
      <c r="E23" s="734" t="s">
        <v>101</v>
      </c>
      <c r="F23" s="20" t="s">
        <v>102</v>
      </c>
      <c r="G23" s="719"/>
      <c r="H23" s="719"/>
      <c r="I23" s="719"/>
      <c r="J23" s="20" t="s">
        <v>103</v>
      </c>
      <c r="K23" s="719"/>
      <c r="L23" s="720"/>
      <c r="M23" s="736"/>
    </row>
    <row r="24" spans="1:14" s="74" customFormat="1" ht="51" x14ac:dyDescent="0.2">
      <c r="A24" s="196" t="s">
        <v>11</v>
      </c>
      <c r="B24" s="196" t="s">
        <v>12</v>
      </c>
      <c r="C24" s="196" t="s">
        <v>2</v>
      </c>
      <c r="D24" s="198" t="s">
        <v>5</v>
      </c>
      <c r="E24" s="737"/>
      <c r="F24" s="33" t="s">
        <v>104</v>
      </c>
      <c r="G24" s="33" t="s">
        <v>105</v>
      </c>
      <c r="H24" s="33" t="s">
        <v>106</v>
      </c>
      <c r="I24" s="33" t="s">
        <v>107</v>
      </c>
      <c r="J24" s="301" t="s">
        <v>108</v>
      </c>
      <c r="K24" s="33" t="s">
        <v>109</v>
      </c>
      <c r="L24" s="33" t="s">
        <v>110</v>
      </c>
    </row>
    <row r="25" spans="1:14" s="74" customFormat="1" x14ac:dyDescent="0.25">
      <c r="A25" s="751" t="s">
        <v>56</v>
      </c>
      <c r="B25" s="84"/>
      <c r="C25" s="168"/>
      <c r="D25" s="169">
        <v>21</v>
      </c>
      <c r="E25" s="169">
        <v>15</v>
      </c>
      <c r="F25" s="169">
        <v>17</v>
      </c>
      <c r="G25" s="169">
        <v>18</v>
      </c>
      <c r="H25" s="169">
        <v>17</v>
      </c>
      <c r="I25" s="169">
        <v>17</v>
      </c>
      <c r="J25" s="169">
        <v>17</v>
      </c>
      <c r="K25" s="169">
        <v>17</v>
      </c>
      <c r="L25" s="169">
        <v>17</v>
      </c>
    </row>
    <row r="26" spans="1:14" x14ac:dyDescent="0.25">
      <c r="A26" s="170" t="s">
        <v>361</v>
      </c>
      <c r="B26" s="170" t="s">
        <v>253</v>
      </c>
      <c r="C26" s="464" t="s">
        <v>209</v>
      </c>
      <c r="D26" s="115">
        <v>1092</v>
      </c>
      <c r="E26" s="175" t="s">
        <v>227</v>
      </c>
      <c r="F26" s="219" t="s">
        <v>233</v>
      </c>
      <c r="G26" s="219" t="s">
        <v>233</v>
      </c>
      <c r="H26" s="219" t="s">
        <v>233</v>
      </c>
      <c r="I26" s="219" t="s">
        <v>233</v>
      </c>
      <c r="J26" s="175" t="s">
        <v>227</v>
      </c>
      <c r="K26" s="175" t="s">
        <v>227</v>
      </c>
      <c r="L26" s="175" t="s">
        <v>227</v>
      </c>
    </row>
    <row r="27" spans="1:14" x14ac:dyDescent="0.25">
      <c r="A27" s="170" t="s">
        <v>163</v>
      </c>
      <c r="B27" s="170" t="s">
        <v>162</v>
      </c>
      <c r="C27" s="464" t="s">
        <v>209</v>
      </c>
      <c r="D27" s="115">
        <v>220</v>
      </c>
      <c r="E27" s="175" t="s">
        <v>224</v>
      </c>
      <c r="F27" s="175" t="s">
        <v>224</v>
      </c>
      <c r="G27" s="175" t="s">
        <v>224</v>
      </c>
      <c r="H27" s="175" t="s">
        <v>224</v>
      </c>
      <c r="I27" s="175" t="s">
        <v>227</v>
      </c>
      <c r="J27" s="175" t="s">
        <v>224</v>
      </c>
      <c r="K27" s="175" t="s">
        <v>227</v>
      </c>
      <c r="L27" s="175" t="s">
        <v>227</v>
      </c>
    </row>
    <row r="28" spans="1:14" x14ac:dyDescent="0.25">
      <c r="A28" s="170" t="s">
        <v>156</v>
      </c>
      <c r="B28" s="170" t="s">
        <v>236</v>
      </c>
      <c r="C28" s="464" t="s">
        <v>209</v>
      </c>
      <c r="D28" s="115">
        <v>153</v>
      </c>
      <c r="E28" s="175" t="s">
        <v>224</v>
      </c>
      <c r="F28" s="175" t="s">
        <v>227</v>
      </c>
      <c r="G28" s="175" t="s">
        <v>224</v>
      </c>
      <c r="H28" s="175" t="s">
        <v>227</v>
      </c>
      <c r="I28" s="175" t="s">
        <v>227</v>
      </c>
      <c r="J28" s="175" t="s">
        <v>227</v>
      </c>
      <c r="K28" s="175" t="s">
        <v>227</v>
      </c>
      <c r="L28" s="175" t="s">
        <v>227</v>
      </c>
    </row>
    <row r="29" spans="1:14" x14ac:dyDescent="0.25">
      <c r="A29" s="170" t="s">
        <v>362</v>
      </c>
      <c r="B29" s="170" t="s">
        <v>145</v>
      </c>
      <c r="C29" s="464" t="s">
        <v>209</v>
      </c>
      <c r="D29" s="115">
        <v>1152</v>
      </c>
      <c r="E29" s="175" t="s">
        <v>227</v>
      </c>
      <c r="F29" s="175" t="s">
        <v>227</v>
      </c>
      <c r="G29" s="175" t="s">
        <v>227</v>
      </c>
      <c r="H29" s="175" t="s">
        <v>224</v>
      </c>
      <c r="I29" s="175" t="s">
        <v>227</v>
      </c>
      <c r="J29" s="175" t="s">
        <v>224</v>
      </c>
      <c r="K29" s="175" t="s">
        <v>227</v>
      </c>
      <c r="L29" s="175" t="s">
        <v>227</v>
      </c>
    </row>
    <row r="30" spans="1:14" x14ac:dyDescent="0.25">
      <c r="A30" s="170" t="s">
        <v>362</v>
      </c>
      <c r="B30" s="170" t="s">
        <v>176</v>
      </c>
      <c r="C30" s="464" t="s">
        <v>209</v>
      </c>
      <c r="D30" s="115">
        <v>147</v>
      </c>
      <c r="E30" s="219" t="s">
        <v>233</v>
      </c>
      <c r="F30" s="175" t="s">
        <v>227</v>
      </c>
      <c r="G30" s="175" t="s">
        <v>227</v>
      </c>
      <c r="H30" s="175" t="s">
        <v>227</v>
      </c>
      <c r="I30" s="175" t="s">
        <v>227</v>
      </c>
      <c r="J30" s="175" t="s">
        <v>227</v>
      </c>
      <c r="K30" s="175" t="s">
        <v>227</v>
      </c>
      <c r="L30" s="175" t="s">
        <v>227</v>
      </c>
    </row>
    <row r="31" spans="1:14" x14ac:dyDescent="0.25">
      <c r="A31" s="170" t="s">
        <v>363</v>
      </c>
      <c r="B31" s="170" t="s">
        <v>355</v>
      </c>
      <c r="C31" s="464" t="s">
        <v>209</v>
      </c>
      <c r="D31" s="115">
        <v>422</v>
      </c>
      <c r="E31" s="219" t="s">
        <v>233</v>
      </c>
      <c r="F31" s="175" t="s">
        <v>227</v>
      </c>
      <c r="G31" s="175" t="s">
        <v>227</v>
      </c>
      <c r="H31" s="175" t="s">
        <v>227</v>
      </c>
      <c r="I31" s="175" t="s">
        <v>227</v>
      </c>
      <c r="J31" s="219" t="s">
        <v>233</v>
      </c>
      <c r="K31" s="219" t="s">
        <v>233</v>
      </c>
      <c r="L31" s="219" t="s">
        <v>233</v>
      </c>
    </row>
    <row r="32" spans="1:14" x14ac:dyDescent="0.25">
      <c r="A32" s="170" t="s">
        <v>148</v>
      </c>
      <c r="B32" s="170" t="s">
        <v>152</v>
      </c>
      <c r="C32" s="464" t="s">
        <v>209</v>
      </c>
      <c r="D32" s="115">
        <v>1557</v>
      </c>
      <c r="E32" s="175" t="s">
        <v>224</v>
      </c>
      <c r="F32" s="175" t="s">
        <v>227</v>
      </c>
      <c r="G32" s="175" t="s">
        <v>227</v>
      </c>
      <c r="H32" s="175" t="s">
        <v>227</v>
      </c>
      <c r="I32" s="175" t="s">
        <v>227</v>
      </c>
      <c r="J32" s="175" t="s">
        <v>227</v>
      </c>
      <c r="K32" s="175" t="s">
        <v>227</v>
      </c>
      <c r="L32" s="175" t="s">
        <v>227</v>
      </c>
    </row>
    <row r="33" spans="1:12" x14ac:dyDescent="0.25">
      <c r="A33" s="170" t="s">
        <v>148</v>
      </c>
      <c r="B33" s="170" t="s">
        <v>170</v>
      </c>
      <c r="C33" s="464" t="s">
        <v>209</v>
      </c>
      <c r="D33" s="115">
        <v>1228</v>
      </c>
      <c r="E33" s="175" t="s">
        <v>224</v>
      </c>
      <c r="F33" s="219" t="s">
        <v>233</v>
      </c>
      <c r="G33" s="175" t="s">
        <v>227</v>
      </c>
      <c r="H33" s="219" t="s">
        <v>233</v>
      </c>
      <c r="I33" s="219" t="s">
        <v>233</v>
      </c>
      <c r="J33" s="175" t="s">
        <v>227</v>
      </c>
      <c r="K33" s="175" t="s">
        <v>224</v>
      </c>
      <c r="L33" s="175" t="s">
        <v>227</v>
      </c>
    </row>
    <row r="34" spans="1:12" x14ac:dyDescent="0.25">
      <c r="A34" s="170" t="s">
        <v>148</v>
      </c>
      <c r="B34" s="170" t="s">
        <v>291</v>
      </c>
      <c r="C34" s="464" t="s">
        <v>209</v>
      </c>
      <c r="D34" s="115">
        <v>175</v>
      </c>
      <c r="E34" s="175" t="s">
        <v>224</v>
      </c>
      <c r="F34" s="175" t="s">
        <v>224</v>
      </c>
      <c r="G34" s="175" t="s">
        <v>224</v>
      </c>
      <c r="H34" s="175" t="s">
        <v>224</v>
      </c>
      <c r="I34" s="175" t="s">
        <v>227</v>
      </c>
      <c r="J34" s="175" t="s">
        <v>227</v>
      </c>
      <c r="K34" s="175" t="s">
        <v>227</v>
      </c>
      <c r="L34" s="175" t="s">
        <v>227</v>
      </c>
    </row>
    <row r="35" spans="1:12" x14ac:dyDescent="0.25">
      <c r="A35" s="170" t="s">
        <v>178</v>
      </c>
      <c r="B35" s="170" t="s">
        <v>206</v>
      </c>
      <c r="C35" s="464" t="s">
        <v>209</v>
      </c>
      <c r="D35" s="115">
        <v>862</v>
      </c>
      <c r="E35" s="175" t="s">
        <v>224</v>
      </c>
      <c r="F35" s="175" t="s">
        <v>227</v>
      </c>
      <c r="G35" s="175" t="s">
        <v>227</v>
      </c>
      <c r="H35" s="175" t="s">
        <v>227</v>
      </c>
      <c r="I35" s="175" t="s">
        <v>227</v>
      </c>
      <c r="J35" s="175" t="s">
        <v>227</v>
      </c>
      <c r="K35" s="175" t="s">
        <v>227</v>
      </c>
      <c r="L35" s="175" t="s">
        <v>227</v>
      </c>
    </row>
    <row r="36" spans="1:12" x14ac:dyDescent="0.25">
      <c r="A36" s="170" t="s">
        <v>364</v>
      </c>
      <c r="B36" s="170" t="s">
        <v>356</v>
      </c>
      <c r="C36" s="464" t="s">
        <v>209</v>
      </c>
      <c r="D36" s="115">
        <v>2017</v>
      </c>
      <c r="E36" s="175" t="s">
        <v>224</v>
      </c>
      <c r="F36" s="175" t="s">
        <v>227</v>
      </c>
      <c r="G36" s="175" t="s">
        <v>227</v>
      </c>
      <c r="H36" s="175" t="s">
        <v>227</v>
      </c>
      <c r="I36" s="175" t="s">
        <v>227</v>
      </c>
      <c r="J36" s="175" t="s">
        <v>227</v>
      </c>
      <c r="K36" s="175" t="s">
        <v>227</v>
      </c>
      <c r="L36" s="175" t="s">
        <v>227</v>
      </c>
    </row>
    <row r="37" spans="1:12" x14ac:dyDescent="0.25">
      <c r="A37" s="170" t="s">
        <v>364</v>
      </c>
      <c r="B37" s="170" t="s">
        <v>237</v>
      </c>
      <c r="C37" s="464" t="s">
        <v>209</v>
      </c>
      <c r="D37" s="115">
        <v>235</v>
      </c>
      <c r="E37" s="475" t="s">
        <v>233</v>
      </c>
      <c r="F37" s="475" t="s">
        <v>233</v>
      </c>
      <c r="G37" s="475" t="s">
        <v>233</v>
      </c>
      <c r="H37" s="752" t="s">
        <v>233</v>
      </c>
      <c r="I37" s="752" t="s">
        <v>233</v>
      </c>
      <c r="J37" s="752" t="s">
        <v>233</v>
      </c>
      <c r="K37" s="752" t="s">
        <v>233</v>
      </c>
      <c r="L37" s="752" t="s">
        <v>233</v>
      </c>
    </row>
    <row r="38" spans="1:12" x14ac:dyDescent="0.25">
      <c r="A38" s="170" t="s">
        <v>149</v>
      </c>
      <c r="B38" s="170" t="s">
        <v>238</v>
      </c>
      <c r="C38" s="464" t="s">
        <v>209</v>
      </c>
      <c r="D38" s="115">
        <v>612</v>
      </c>
      <c r="E38" s="175" t="s">
        <v>224</v>
      </c>
      <c r="F38" s="175" t="s">
        <v>227</v>
      </c>
      <c r="G38" s="175" t="s">
        <v>224</v>
      </c>
      <c r="H38" s="175" t="s">
        <v>227</v>
      </c>
      <c r="I38" s="175" t="s">
        <v>227</v>
      </c>
      <c r="J38" s="175" t="s">
        <v>224</v>
      </c>
      <c r="K38" s="175" t="s">
        <v>224</v>
      </c>
      <c r="L38" s="175" t="s">
        <v>227</v>
      </c>
    </row>
    <row r="39" spans="1:12" x14ac:dyDescent="0.25">
      <c r="A39" s="170" t="s">
        <v>181</v>
      </c>
      <c r="B39" s="170" t="s">
        <v>208</v>
      </c>
      <c r="C39" s="464" t="s">
        <v>209</v>
      </c>
      <c r="D39" s="115">
        <v>274</v>
      </c>
      <c r="E39" s="175" t="s">
        <v>227</v>
      </c>
      <c r="F39" s="175" t="s">
        <v>227</v>
      </c>
      <c r="G39" s="175" t="s">
        <v>227</v>
      </c>
      <c r="H39" s="175" t="s">
        <v>227</v>
      </c>
      <c r="I39" s="175" t="s">
        <v>227</v>
      </c>
      <c r="J39" s="219" t="s">
        <v>233</v>
      </c>
      <c r="K39" s="219" t="s">
        <v>233</v>
      </c>
      <c r="L39" s="219" t="s">
        <v>233</v>
      </c>
    </row>
    <row r="40" spans="1:12" x14ac:dyDescent="0.25">
      <c r="A40" s="170" t="s">
        <v>143</v>
      </c>
      <c r="B40" s="170" t="s">
        <v>142</v>
      </c>
      <c r="C40" s="464" t="s">
        <v>209</v>
      </c>
      <c r="D40" s="115">
        <v>151</v>
      </c>
      <c r="E40" s="175" t="s">
        <v>227</v>
      </c>
      <c r="F40" s="175" t="s">
        <v>227</v>
      </c>
      <c r="G40" s="175" t="s">
        <v>227</v>
      </c>
      <c r="H40" s="175" t="s">
        <v>227</v>
      </c>
      <c r="I40" s="175" t="s">
        <v>227</v>
      </c>
      <c r="J40" s="175" t="s">
        <v>227</v>
      </c>
      <c r="K40" s="175" t="s">
        <v>227</v>
      </c>
      <c r="L40" s="175" t="s">
        <v>227</v>
      </c>
    </row>
    <row r="41" spans="1:12" x14ac:dyDescent="0.25">
      <c r="A41" s="170" t="s">
        <v>365</v>
      </c>
      <c r="B41" s="170" t="s">
        <v>158</v>
      </c>
      <c r="C41" s="464" t="s">
        <v>209</v>
      </c>
      <c r="D41" s="115">
        <v>794</v>
      </c>
      <c r="E41" s="175" t="s">
        <v>224</v>
      </c>
      <c r="F41" s="175" t="s">
        <v>227</v>
      </c>
      <c r="G41" s="175" t="s">
        <v>224</v>
      </c>
      <c r="H41" s="175" t="s">
        <v>224</v>
      </c>
      <c r="I41" s="175" t="s">
        <v>227</v>
      </c>
      <c r="J41" s="175" t="s">
        <v>224</v>
      </c>
      <c r="K41" s="175" t="s">
        <v>227</v>
      </c>
      <c r="L41" s="175" t="s">
        <v>227</v>
      </c>
    </row>
    <row r="42" spans="1:12" x14ac:dyDescent="0.25">
      <c r="A42" s="170" t="s">
        <v>365</v>
      </c>
      <c r="B42" s="170" t="s">
        <v>357</v>
      </c>
      <c r="C42" s="464" t="s">
        <v>209</v>
      </c>
      <c r="D42" s="115">
        <v>46</v>
      </c>
      <c r="E42" s="475" t="s">
        <v>233</v>
      </c>
      <c r="F42" s="475" t="s">
        <v>233</v>
      </c>
      <c r="G42" s="475" t="s">
        <v>233</v>
      </c>
      <c r="H42" s="475" t="s">
        <v>233</v>
      </c>
      <c r="I42" s="475" t="s">
        <v>233</v>
      </c>
      <c r="J42" s="475" t="s">
        <v>233</v>
      </c>
      <c r="K42" s="475" t="s">
        <v>233</v>
      </c>
      <c r="L42" s="475" t="s">
        <v>233</v>
      </c>
    </row>
    <row r="43" spans="1:12" x14ac:dyDescent="0.25">
      <c r="A43" s="170" t="s">
        <v>153</v>
      </c>
      <c r="B43" s="170" t="s">
        <v>235</v>
      </c>
      <c r="C43" s="464" t="s">
        <v>209</v>
      </c>
      <c r="D43" s="115">
        <v>774</v>
      </c>
      <c r="E43" s="219" t="s">
        <v>233</v>
      </c>
      <c r="F43" s="175" t="s">
        <v>227</v>
      </c>
      <c r="G43" s="175" t="s">
        <v>227</v>
      </c>
      <c r="H43" s="175" t="s">
        <v>224</v>
      </c>
      <c r="I43" s="175" t="s">
        <v>227</v>
      </c>
      <c r="J43" s="175" t="s">
        <v>227</v>
      </c>
      <c r="K43" s="175" t="s">
        <v>227</v>
      </c>
      <c r="L43" s="175" t="s">
        <v>227</v>
      </c>
    </row>
    <row r="44" spans="1:12" x14ac:dyDescent="0.25">
      <c r="A44" s="170" t="s">
        <v>198</v>
      </c>
      <c r="B44" s="170" t="s">
        <v>358</v>
      </c>
      <c r="C44" s="464" t="s">
        <v>209</v>
      </c>
      <c r="D44" s="115">
        <v>230</v>
      </c>
      <c r="E44" s="219" t="s">
        <v>233</v>
      </c>
      <c r="F44" s="175" t="s">
        <v>227</v>
      </c>
      <c r="G44" s="175" t="s">
        <v>227</v>
      </c>
      <c r="H44" s="175" t="s">
        <v>227</v>
      </c>
      <c r="I44" s="175" t="s">
        <v>227</v>
      </c>
      <c r="J44" s="175" t="s">
        <v>227</v>
      </c>
      <c r="K44" s="175" t="s">
        <v>227</v>
      </c>
      <c r="L44" s="175" t="s">
        <v>227</v>
      </c>
    </row>
    <row r="45" spans="1:12" x14ac:dyDescent="0.25">
      <c r="A45" s="170" t="s">
        <v>174</v>
      </c>
      <c r="B45" s="170" t="s">
        <v>359</v>
      </c>
      <c r="C45" s="726" t="s">
        <v>209</v>
      </c>
      <c r="D45" s="115">
        <v>405</v>
      </c>
      <c r="E45" s="175" t="s">
        <v>224</v>
      </c>
      <c r="F45" s="175" t="s">
        <v>227</v>
      </c>
      <c r="G45" s="175" t="s">
        <v>224</v>
      </c>
      <c r="H45" s="175" t="s">
        <v>227</v>
      </c>
      <c r="I45" s="175" t="s">
        <v>227</v>
      </c>
      <c r="J45" s="175" t="s">
        <v>227</v>
      </c>
      <c r="K45" s="175" t="s">
        <v>227</v>
      </c>
      <c r="L45" s="175" t="s">
        <v>227</v>
      </c>
    </row>
    <row r="46" spans="1:12" x14ac:dyDescent="0.25">
      <c r="A46" s="170" t="s">
        <v>366</v>
      </c>
      <c r="B46" s="170" t="s">
        <v>360</v>
      </c>
      <c r="C46" s="726" t="s">
        <v>209</v>
      </c>
      <c r="D46" s="115">
        <v>237</v>
      </c>
      <c r="E46" s="175" t="s">
        <v>224</v>
      </c>
      <c r="F46" s="175" t="s">
        <v>224</v>
      </c>
      <c r="G46" s="175" t="s">
        <v>224</v>
      </c>
      <c r="H46" s="175" t="s">
        <v>224</v>
      </c>
      <c r="I46" s="175" t="s">
        <v>227</v>
      </c>
      <c r="J46" s="175" t="s">
        <v>224</v>
      </c>
      <c r="K46" s="175" t="s">
        <v>224</v>
      </c>
      <c r="L46" s="175" t="s">
        <v>227</v>
      </c>
    </row>
    <row r="47" spans="1:12" s="136" customFormat="1" ht="12.75" x14ac:dyDescent="0.2">
      <c r="A47" s="179"/>
      <c r="B47" s="180"/>
      <c r="C47" s="205" t="s">
        <v>7</v>
      </c>
      <c r="D47" s="182">
        <f>SUM(D26:D46)</f>
        <v>12783</v>
      </c>
      <c r="E47" s="185">
        <v>11</v>
      </c>
      <c r="F47" s="185">
        <v>8</v>
      </c>
      <c r="G47" s="185">
        <v>7</v>
      </c>
      <c r="H47" s="185">
        <v>6</v>
      </c>
      <c r="I47" s="185">
        <v>0</v>
      </c>
      <c r="J47" s="185">
        <v>5</v>
      </c>
      <c r="K47" s="185">
        <v>3</v>
      </c>
      <c r="L47" s="185">
        <v>0</v>
      </c>
    </row>
    <row r="48" spans="1:12" s="136" customFormat="1" ht="12.75" x14ac:dyDescent="0.2">
      <c r="A48" s="186"/>
      <c r="B48" s="187"/>
      <c r="C48" s="188" t="s">
        <v>8</v>
      </c>
      <c r="D48" s="182">
        <f>AVERAGE(D26:D46)</f>
        <v>608.71428571428567</v>
      </c>
      <c r="E48" s="185"/>
      <c r="F48" s="185"/>
      <c r="G48" s="185"/>
      <c r="H48" s="185"/>
      <c r="I48" s="185"/>
      <c r="J48" s="185"/>
      <c r="K48" s="185"/>
      <c r="L48" s="185"/>
    </row>
    <row r="49" spans="1:13" s="136" customFormat="1" ht="12.75" x14ac:dyDescent="0.2">
      <c r="A49" s="186"/>
      <c r="B49" s="187"/>
      <c r="C49" s="188" t="s">
        <v>9</v>
      </c>
      <c r="D49" s="182">
        <f>MEDIAN(D26:D46)</f>
        <v>405</v>
      </c>
      <c r="E49" s="185"/>
      <c r="F49" s="185"/>
      <c r="G49" s="185"/>
      <c r="H49" s="185"/>
      <c r="I49" s="185"/>
      <c r="J49" s="185"/>
      <c r="K49" s="185"/>
      <c r="L49" s="185"/>
    </row>
    <row r="50" spans="1:13" s="142" customFormat="1" ht="12.75" x14ac:dyDescent="0.2">
      <c r="A50" s="191"/>
      <c r="B50" s="192"/>
      <c r="C50" s="188" t="s">
        <v>30</v>
      </c>
      <c r="D50" s="193"/>
      <c r="E50" s="195">
        <f t="shared" ref="E50:L50" si="9">+E47/E25</f>
        <v>0.73333333333333328</v>
      </c>
      <c r="F50" s="195">
        <f t="shared" si="9"/>
        <v>0.47058823529411764</v>
      </c>
      <c r="G50" s="195">
        <f t="shared" si="9"/>
        <v>0.3888888888888889</v>
      </c>
      <c r="H50" s="195">
        <f t="shared" si="9"/>
        <v>0.35294117647058826</v>
      </c>
      <c r="I50" s="195">
        <f t="shared" si="9"/>
        <v>0</v>
      </c>
      <c r="J50" s="195">
        <f t="shared" si="9"/>
        <v>0.29411764705882354</v>
      </c>
      <c r="K50" s="195">
        <f t="shared" si="9"/>
        <v>0.17647058823529413</v>
      </c>
      <c r="L50" s="195">
        <f t="shared" si="9"/>
        <v>0</v>
      </c>
    </row>
    <row r="51" spans="1:13" x14ac:dyDescent="0.25">
      <c r="B51" s="150"/>
      <c r="C51" s="151"/>
    </row>
    <row r="52" spans="1:13" x14ac:dyDescent="0.25">
      <c r="B52" s="150"/>
      <c r="C52" s="151"/>
    </row>
    <row r="53" spans="1:13" s="161" customFormat="1" ht="15" customHeight="1" x14ac:dyDescent="0.2">
      <c r="A53" s="154" t="s">
        <v>668</v>
      </c>
      <c r="B53" s="246"/>
      <c r="C53" s="246"/>
      <c r="D53" s="247"/>
      <c r="E53" s="715"/>
      <c r="F53" s="715"/>
      <c r="G53" s="715"/>
      <c r="H53" s="715"/>
      <c r="I53" s="443"/>
      <c r="J53" s="443"/>
      <c r="K53" s="715"/>
      <c r="L53" s="715"/>
      <c r="M53" s="749"/>
    </row>
    <row r="54" spans="1:13" s="74" customFormat="1" ht="14.45" customHeight="1" x14ac:dyDescent="0.25">
      <c r="A54" s="750"/>
      <c r="B54" s="750"/>
      <c r="C54" s="750"/>
      <c r="D54" s="750"/>
      <c r="E54" s="734" t="s">
        <v>101</v>
      </c>
      <c r="F54" s="20" t="s">
        <v>102</v>
      </c>
      <c r="G54" s="719"/>
      <c r="H54" s="719"/>
      <c r="I54" s="719"/>
      <c r="J54" s="20" t="s">
        <v>103</v>
      </c>
      <c r="K54" s="719"/>
      <c r="L54" s="720"/>
      <c r="M54" s="753"/>
    </row>
    <row r="55" spans="1:13" s="74" customFormat="1" ht="51" x14ac:dyDescent="0.2">
      <c r="A55" s="196" t="s">
        <v>11</v>
      </c>
      <c r="B55" s="196" t="s">
        <v>12</v>
      </c>
      <c r="C55" s="196" t="s">
        <v>2</v>
      </c>
      <c r="D55" s="198" t="s">
        <v>5</v>
      </c>
      <c r="E55" s="737"/>
      <c r="F55" s="33" t="s">
        <v>104</v>
      </c>
      <c r="G55" s="33" t="s">
        <v>105</v>
      </c>
      <c r="H55" s="33" t="s">
        <v>106</v>
      </c>
      <c r="I55" s="33" t="s">
        <v>107</v>
      </c>
      <c r="J55" s="301" t="s">
        <v>108</v>
      </c>
      <c r="K55" s="33" t="s">
        <v>109</v>
      </c>
      <c r="L55" s="33" t="s">
        <v>110</v>
      </c>
    </row>
    <row r="56" spans="1:13" s="74" customFormat="1" x14ac:dyDescent="0.25">
      <c r="A56" s="751" t="s">
        <v>56</v>
      </c>
      <c r="B56" s="84"/>
      <c r="C56" s="168"/>
      <c r="D56" s="169">
        <v>6</v>
      </c>
      <c r="E56" s="169">
        <v>6</v>
      </c>
      <c r="F56" s="169">
        <v>6</v>
      </c>
      <c r="G56" s="169">
        <v>6</v>
      </c>
      <c r="H56" s="169">
        <v>5</v>
      </c>
      <c r="I56" s="169">
        <v>6</v>
      </c>
      <c r="J56" s="169">
        <v>6</v>
      </c>
      <c r="K56" s="169">
        <v>6</v>
      </c>
      <c r="L56" s="169">
        <v>6</v>
      </c>
    </row>
    <row r="57" spans="1:13" x14ac:dyDescent="0.25">
      <c r="A57" s="170" t="s">
        <v>362</v>
      </c>
      <c r="B57" s="170" t="s">
        <v>306</v>
      </c>
      <c r="C57" s="171" t="s">
        <v>210</v>
      </c>
      <c r="D57" s="115">
        <v>194</v>
      </c>
      <c r="E57" s="175" t="s">
        <v>227</v>
      </c>
      <c r="F57" s="276"/>
      <c r="G57" s="276" t="s">
        <v>227</v>
      </c>
      <c r="H57" s="276"/>
      <c r="I57" s="276" t="s">
        <v>227</v>
      </c>
      <c r="J57" s="276"/>
      <c r="K57" s="276"/>
      <c r="L57" s="276" t="s">
        <v>227</v>
      </c>
    </row>
    <row r="58" spans="1:13" x14ac:dyDescent="0.25">
      <c r="A58" s="170" t="s">
        <v>178</v>
      </c>
      <c r="B58" s="170" t="s">
        <v>413</v>
      </c>
      <c r="C58" s="171" t="s">
        <v>210</v>
      </c>
      <c r="D58" s="115">
        <v>106</v>
      </c>
      <c r="E58" s="175" t="s">
        <v>224</v>
      </c>
      <c r="F58" s="276"/>
      <c r="G58" s="276" t="s">
        <v>224</v>
      </c>
      <c r="H58" s="276" t="s">
        <v>224</v>
      </c>
      <c r="I58" s="276" t="s">
        <v>224</v>
      </c>
      <c r="J58" s="276" t="s">
        <v>224</v>
      </c>
      <c r="K58" s="276" t="s">
        <v>224</v>
      </c>
      <c r="L58" s="276" t="s">
        <v>224</v>
      </c>
    </row>
    <row r="59" spans="1:13" x14ac:dyDescent="0.25">
      <c r="A59" s="170" t="s">
        <v>417</v>
      </c>
      <c r="B59" s="170" t="s">
        <v>414</v>
      </c>
      <c r="C59" s="171" t="s">
        <v>210</v>
      </c>
      <c r="D59" s="115">
        <v>182</v>
      </c>
      <c r="E59" s="175" t="s">
        <v>227</v>
      </c>
      <c r="F59" s="276" t="s">
        <v>227</v>
      </c>
      <c r="G59" s="276" t="s">
        <v>227</v>
      </c>
      <c r="H59" s="276"/>
      <c r="I59" s="276"/>
      <c r="J59" s="276"/>
      <c r="K59" s="276"/>
      <c r="L59" s="276"/>
    </row>
    <row r="60" spans="1:13" x14ac:dyDescent="0.25">
      <c r="A60" s="170" t="s">
        <v>157</v>
      </c>
      <c r="B60" s="170" t="s">
        <v>415</v>
      </c>
      <c r="C60" s="171" t="s">
        <v>210</v>
      </c>
      <c r="D60" s="115">
        <v>83</v>
      </c>
      <c r="E60" s="175" t="s">
        <v>224</v>
      </c>
      <c r="F60" s="276" t="s">
        <v>227</v>
      </c>
      <c r="G60" s="276" t="s">
        <v>224</v>
      </c>
      <c r="H60" s="494" t="s">
        <v>233</v>
      </c>
      <c r="I60" s="276" t="s">
        <v>227</v>
      </c>
      <c r="J60" s="276"/>
      <c r="K60" s="276"/>
      <c r="L60" s="276"/>
    </row>
    <row r="61" spans="1:13" x14ac:dyDescent="0.25">
      <c r="A61" s="170" t="s">
        <v>418</v>
      </c>
      <c r="B61" s="170" t="s">
        <v>416</v>
      </c>
      <c r="C61" s="171" t="s">
        <v>211</v>
      </c>
      <c r="D61" s="115">
        <v>212</v>
      </c>
      <c r="E61" s="175" t="s">
        <v>227</v>
      </c>
      <c r="F61" s="274"/>
      <c r="G61" s="274" t="s">
        <v>224</v>
      </c>
      <c r="H61" s="274" t="s">
        <v>227</v>
      </c>
      <c r="I61" s="274" t="s">
        <v>227</v>
      </c>
      <c r="J61" s="274" t="s">
        <v>227</v>
      </c>
      <c r="K61" s="274"/>
      <c r="L61" s="274" t="s">
        <v>227</v>
      </c>
    </row>
    <row r="62" spans="1:13" x14ac:dyDescent="0.25">
      <c r="A62" s="170" t="s">
        <v>179</v>
      </c>
      <c r="B62" s="170" t="s">
        <v>412</v>
      </c>
      <c r="C62" s="171" t="s">
        <v>211</v>
      </c>
      <c r="D62" s="115">
        <v>280</v>
      </c>
      <c r="E62" s="175" t="s">
        <v>227</v>
      </c>
      <c r="F62" s="274"/>
      <c r="G62" s="274" t="s">
        <v>224</v>
      </c>
      <c r="H62" s="274" t="s">
        <v>480</v>
      </c>
      <c r="I62" s="274"/>
      <c r="J62" s="274"/>
      <c r="K62" s="274"/>
      <c r="L62" s="274"/>
    </row>
    <row r="63" spans="1:13" s="136" customFormat="1" ht="12.75" x14ac:dyDescent="0.2">
      <c r="A63" s="179"/>
      <c r="B63" s="180"/>
      <c r="C63" s="181" t="s">
        <v>7</v>
      </c>
      <c r="D63" s="182">
        <f>SUM(D57:D62)</f>
        <v>1057</v>
      </c>
      <c r="E63" s="185">
        <v>2</v>
      </c>
      <c r="F63" s="185">
        <v>0</v>
      </c>
      <c r="G63" s="185">
        <v>4</v>
      </c>
      <c r="H63" s="185">
        <v>2</v>
      </c>
      <c r="I63" s="185">
        <v>1</v>
      </c>
      <c r="J63" s="185">
        <v>1</v>
      </c>
      <c r="K63" s="185">
        <v>1</v>
      </c>
      <c r="L63" s="185">
        <v>1</v>
      </c>
    </row>
    <row r="64" spans="1:13" s="136" customFormat="1" ht="12.75" x14ac:dyDescent="0.2">
      <c r="A64" s="186"/>
      <c r="B64" s="187"/>
      <c r="C64" s="188" t="s">
        <v>8</v>
      </c>
      <c r="D64" s="182">
        <f>AVERAGE(D57:D62)</f>
        <v>176.16666666666666</v>
      </c>
      <c r="E64" s="185"/>
      <c r="F64" s="185"/>
      <c r="G64" s="185"/>
      <c r="H64" s="185"/>
      <c r="I64" s="185"/>
      <c r="J64" s="185"/>
      <c r="K64" s="185"/>
      <c r="L64" s="185"/>
    </row>
    <row r="65" spans="1:13" s="136" customFormat="1" ht="12.75" x14ac:dyDescent="0.2">
      <c r="A65" s="186"/>
      <c r="B65" s="187"/>
      <c r="C65" s="188" t="s">
        <v>9</v>
      </c>
      <c r="D65" s="182">
        <f>MEDIAN(D57:D62)</f>
        <v>188</v>
      </c>
      <c r="E65" s="185"/>
      <c r="F65" s="185"/>
      <c r="G65" s="185"/>
      <c r="H65" s="185"/>
      <c r="I65" s="185"/>
      <c r="J65" s="185"/>
      <c r="K65" s="185"/>
      <c r="L65" s="185"/>
    </row>
    <row r="66" spans="1:13" s="142" customFormat="1" ht="12.75" x14ac:dyDescent="0.2">
      <c r="A66" s="191"/>
      <c r="B66" s="192"/>
      <c r="C66" s="188" t="s">
        <v>30</v>
      </c>
      <c r="D66" s="193"/>
      <c r="E66" s="195">
        <f t="shared" ref="E66:L66" si="10">+E63/E56</f>
        <v>0.33333333333333331</v>
      </c>
      <c r="F66" s="195">
        <f t="shared" si="10"/>
        <v>0</v>
      </c>
      <c r="G66" s="195">
        <f t="shared" si="10"/>
        <v>0.66666666666666663</v>
      </c>
      <c r="H66" s="195">
        <f t="shared" si="10"/>
        <v>0.4</v>
      </c>
      <c r="I66" s="195">
        <f t="shared" si="10"/>
        <v>0.16666666666666666</v>
      </c>
      <c r="J66" s="195">
        <f t="shared" si="10"/>
        <v>0.16666666666666666</v>
      </c>
      <c r="K66" s="195">
        <f t="shared" si="10"/>
        <v>0.16666666666666666</v>
      </c>
      <c r="L66" s="195">
        <f t="shared" si="10"/>
        <v>0.16666666666666666</v>
      </c>
    </row>
    <row r="67" spans="1:13" x14ac:dyDescent="0.25">
      <c r="B67" s="150"/>
      <c r="C67" s="151"/>
    </row>
    <row r="68" spans="1:13" x14ac:dyDescent="0.25">
      <c r="B68" s="150"/>
      <c r="C68" s="151"/>
    </row>
    <row r="69" spans="1:13" s="161" customFormat="1" ht="15" customHeight="1" x14ac:dyDescent="0.2">
      <c r="A69" s="154" t="s">
        <v>669</v>
      </c>
      <c r="B69" s="246"/>
      <c r="C69" s="246"/>
      <c r="D69" s="247"/>
      <c r="E69" s="715"/>
      <c r="F69" s="715"/>
      <c r="G69" s="715"/>
      <c r="H69" s="715"/>
      <c r="I69" s="443"/>
      <c r="J69" s="443"/>
      <c r="K69" s="715"/>
      <c r="L69" s="715"/>
      <c r="M69" s="749"/>
    </row>
    <row r="70" spans="1:13" s="74" customFormat="1" ht="14.45" customHeight="1" x14ac:dyDescent="0.25">
      <c r="A70" s="750"/>
      <c r="B70" s="750"/>
      <c r="C70" s="750"/>
      <c r="D70" s="750"/>
      <c r="E70" s="734" t="s">
        <v>101</v>
      </c>
      <c r="F70" s="20" t="s">
        <v>102</v>
      </c>
      <c r="G70" s="719"/>
      <c r="H70" s="719"/>
      <c r="I70" s="719"/>
      <c r="J70" s="20" t="s">
        <v>103</v>
      </c>
      <c r="K70" s="719"/>
      <c r="L70" s="720"/>
      <c r="M70" s="753"/>
    </row>
    <row r="71" spans="1:13" s="74" customFormat="1" ht="51" x14ac:dyDescent="0.2">
      <c r="A71" s="196" t="s">
        <v>11</v>
      </c>
      <c r="B71" s="196" t="s">
        <v>12</v>
      </c>
      <c r="C71" s="196" t="s">
        <v>2</v>
      </c>
      <c r="D71" s="198" t="s">
        <v>5</v>
      </c>
      <c r="E71" s="737"/>
      <c r="F71" s="33" t="s">
        <v>104</v>
      </c>
      <c r="G71" s="33" t="s">
        <v>105</v>
      </c>
      <c r="H71" s="33" t="s">
        <v>106</v>
      </c>
      <c r="I71" s="33" t="s">
        <v>107</v>
      </c>
      <c r="J71" s="301" t="s">
        <v>108</v>
      </c>
      <c r="K71" s="33" t="s">
        <v>109</v>
      </c>
      <c r="L71" s="33" t="s">
        <v>110</v>
      </c>
    </row>
    <row r="72" spans="1:13" s="74" customFormat="1" x14ac:dyDescent="0.25">
      <c r="A72" s="751" t="s">
        <v>56</v>
      </c>
      <c r="B72" s="84"/>
      <c r="C72" s="168"/>
      <c r="D72" s="169">
        <v>4</v>
      </c>
      <c r="E72" s="169">
        <v>3</v>
      </c>
      <c r="F72" s="169">
        <v>3</v>
      </c>
      <c r="G72" s="169">
        <v>3</v>
      </c>
      <c r="H72" s="169">
        <v>3</v>
      </c>
      <c r="I72" s="169">
        <v>3</v>
      </c>
      <c r="J72" s="169">
        <v>3</v>
      </c>
      <c r="K72" s="169">
        <v>3</v>
      </c>
      <c r="L72" s="169">
        <v>1</v>
      </c>
    </row>
    <row r="73" spans="1:13" x14ac:dyDescent="0.25">
      <c r="A73" s="170" t="s">
        <v>180</v>
      </c>
      <c r="B73" s="170" t="s">
        <v>441</v>
      </c>
      <c r="C73" s="199" t="s">
        <v>449</v>
      </c>
      <c r="D73" s="200">
        <v>236</v>
      </c>
      <c r="E73" s="203" t="s">
        <v>224</v>
      </c>
      <c r="F73" s="203" t="s">
        <v>224</v>
      </c>
      <c r="G73" s="203" t="s">
        <v>224</v>
      </c>
      <c r="H73" s="203" t="s">
        <v>224</v>
      </c>
      <c r="I73" s="203" t="s">
        <v>227</v>
      </c>
      <c r="J73" s="203" t="s">
        <v>224</v>
      </c>
      <c r="K73" s="203" t="s">
        <v>224</v>
      </c>
      <c r="L73" s="494" t="s">
        <v>233</v>
      </c>
    </row>
    <row r="74" spans="1:13" x14ac:dyDescent="0.25">
      <c r="A74" s="170" t="s">
        <v>417</v>
      </c>
      <c r="B74" s="170" t="s">
        <v>205</v>
      </c>
      <c r="C74" s="199" t="s">
        <v>212</v>
      </c>
      <c r="D74" s="200">
        <v>168</v>
      </c>
      <c r="E74" s="203" t="s">
        <v>224</v>
      </c>
      <c r="F74" s="203"/>
      <c r="G74" s="203"/>
      <c r="H74" s="203"/>
      <c r="I74" s="203"/>
      <c r="J74" s="203"/>
      <c r="K74" s="203"/>
      <c r="L74" s="203"/>
    </row>
    <row r="75" spans="1:13" x14ac:dyDescent="0.25">
      <c r="A75" s="170" t="s">
        <v>443</v>
      </c>
      <c r="B75" s="170" t="s">
        <v>442</v>
      </c>
      <c r="C75" s="199" t="s">
        <v>212</v>
      </c>
      <c r="D75" s="200">
        <v>89</v>
      </c>
      <c r="E75" s="219" t="s">
        <v>233</v>
      </c>
      <c r="F75" s="219" t="s">
        <v>233</v>
      </c>
      <c r="G75" s="219" t="s">
        <v>233</v>
      </c>
      <c r="H75" s="219" t="s">
        <v>233</v>
      </c>
      <c r="I75" s="219" t="s">
        <v>233</v>
      </c>
      <c r="J75" s="219" t="s">
        <v>233</v>
      </c>
      <c r="K75" s="219" t="s">
        <v>233</v>
      </c>
      <c r="L75" s="219" t="s">
        <v>233</v>
      </c>
    </row>
    <row r="76" spans="1:13" x14ac:dyDescent="0.25">
      <c r="A76" s="170" t="s">
        <v>181</v>
      </c>
      <c r="B76" s="170" t="s">
        <v>434</v>
      </c>
      <c r="C76" s="199" t="s">
        <v>212</v>
      </c>
      <c r="D76" s="200">
        <v>36</v>
      </c>
      <c r="E76" s="175" t="s">
        <v>224</v>
      </c>
      <c r="F76" s="175" t="s">
        <v>224</v>
      </c>
      <c r="G76" s="175" t="s">
        <v>224</v>
      </c>
      <c r="H76" s="175" t="s">
        <v>224</v>
      </c>
      <c r="I76" s="175" t="s">
        <v>224</v>
      </c>
      <c r="J76" s="175" t="s">
        <v>224</v>
      </c>
      <c r="K76" s="175" t="s">
        <v>224</v>
      </c>
      <c r="L76" s="219" t="s">
        <v>233</v>
      </c>
    </row>
    <row r="77" spans="1:13" s="136" customFormat="1" ht="12.75" x14ac:dyDescent="0.2">
      <c r="A77" s="179"/>
      <c r="B77" s="180"/>
      <c r="C77" s="205" t="s">
        <v>7</v>
      </c>
      <c r="D77" s="182">
        <f>SUM(D73:D76)</f>
        <v>529</v>
      </c>
      <c r="E77" s="185">
        <v>3</v>
      </c>
      <c r="F77" s="185">
        <v>2</v>
      </c>
      <c r="G77" s="185">
        <v>2</v>
      </c>
      <c r="H77" s="185">
        <v>2</v>
      </c>
      <c r="I77" s="185">
        <v>1</v>
      </c>
      <c r="J77" s="185">
        <v>2</v>
      </c>
      <c r="K77" s="185">
        <v>2</v>
      </c>
      <c r="L77" s="185">
        <v>0</v>
      </c>
    </row>
    <row r="78" spans="1:13" s="136" customFormat="1" ht="12.75" x14ac:dyDescent="0.2">
      <c r="A78" s="186"/>
      <c r="B78" s="187"/>
      <c r="C78" s="188" t="s">
        <v>8</v>
      </c>
      <c r="D78" s="182">
        <f>AVERAGE(D73:D76)</f>
        <v>132.25</v>
      </c>
      <c r="E78" s="185"/>
      <c r="F78" s="185"/>
      <c r="G78" s="185"/>
      <c r="H78" s="185"/>
      <c r="I78" s="185"/>
      <c r="J78" s="185"/>
      <c r="K78" s="185"/>
      <c r="L78" s="185"/>
    </row>
    <row r="79" spans="1:13" s="136" customFormat="1" ht="12.75" x14ac:dyDescent="0.2">
      <c r="A79" s="186"/>
      <c r="B79" s="187"/>
      <c r="C79" s="188" t="s">
        <v>9</v>
      </c>
      <c r="D79" s="182">
        <v>142</v>
      </c>
      <c r="E79" s="185"/>
      <c r="F79" s="185"/>
      <c r="G79" s="185"/>
      <c r="H79" s="185"/>
      <c r="I79" s="185"/>
      <c r="J79" s="185"/>
      <c r="K79" s="185"/>
      <c r="L79" s="185"/>
    </row>
    <row r="80" spans="1:13" s="142" customFormat="1" ht="12.75" x14ac:dyDescent="0.2">
      <c r="A80" s="191"/>
      <c r="B80" s="192"/>
      <c r="C80" s="188" t="s">
        <v>30</v>
      </c>
      <c r="D80" s="193"/>
      <c r="E80" s="195">
        <f t="shared" ref="E80:L80" si="11">+E77/E72</f>
        <v>1</v>
      </c>
      <c r="F80" s="195">
        <f t="shared" si="11"/>
        <v>0.66666666666666663</v>
      </c>
      <c r="G80" s="195">
        <f t="shared" si="11"/>
        <v>0.66666666666666663</v>
      </c>
      <c r="H80" s="195">
        <f t="shared" si="11"/>
        <v>0.66666666666666663</v>
      </c>
      <c r="I80" s="195">
        <f t="shared" si="11"/>
        <v>0.33333333333333331</v>
      </c>
      <c r="J80" s="195">
        <f t="shared" si="11"/>
        <v>0.66666666666666663</v>
      </c>
      <c r="K80" s="195">
        <f t="shared" si="11"/>
        <v>0.66666666666666663</v>
      </c>
      <c r="L80" s="195">
        <f t="shared" si="11"/>
        <v>0</v>
      </c>
    </row>
    <row r="81" spans="1:13" x14ac:dyDescent="0.25">
      <c r="B81" s="150"/>
      <c r="C81" s="151"/>
    </row>
    <row r="82" spans="1:13" x14ac:dyDescent="0.25">
      <c r="B82" s="150"/>
      <c r="C82" s="151"/>
    </row>
    <row r="83" spans="1:13" s="161" customFormat="1" ht="15" customHeight="1" x14ac:dyDescent="0.2">
      <c r="A83" s="154" t="s">
        <v>673</v>
      </c>
      <c r="B83" s="246"/>
      <c r="C83" s="246"/>
      <c r="D83" s="247"/>
      <c r="E83" s="715"/>
      <c r="F83" s="715"/>
      <c r="G83" s="715"/>
      <c r="H83" s="715"/>
      <c r="I83" s="443"/>
      <c r="J83" s="443"/>
      <c r="K83" s="715"/>
      <c r="L83" s="715"/>
      <c r="M83" s="749"/>
    </row>
    <row r="84" spans="1:13" s="74" customFormat="1" ht="14.45" customHeight="1" x14ac:dyDescent="0.25">
      <c r="A84" s="750"/>
      <c r="B84" s="750"/>
      <c r="C84" s="750"/>
      <c r="D84" s="750"/>
      <c r="E84" s="734" t="s">
        <v>101</v>
      </c>
      <c r="F84" s="20" t="s">
        <v>102</v>
      </c>
      <c r="G84" s="719"/>
      <c r="H84" s="719"/>
      <c r="I84" s="719"/>
      <c r="J84" s="20" t="s">
        <v>103</v>
      </c>
      <c r="K84" s="719"/>
      <c r="L84" s="719"/>
      <c r="M84" s="753"/>
    </row>
    <row r="85" spans="1:13" s="74" customFormat="1" ht="51" x14ac:dyDescent="0.2">
      <c r="A85" s="196" t="s">
        <v>11</v>
      </c>
      <c r="B85" s="196" t="s">
        <v>12</v>
      </c>
      <c r="C85" s="196" t="s">
        <v>2</v>
      </c>
      <c r="D85" s="198" t="s">
        <v>5</v>
      </c>
      <c r="E85" s="737"/>
      <c r="F85" s="33" t="s">
        <v>104</v>
      </c>
      <c r="G85" s="33" t="s">
        <v>105</v>
      </c>
      <c r="H85" s="33" t="s">
        <v>106</v>
      </c>
      <c r="I85" s="33" t="s">
        <v>107</v>
      </c>
      <c r="J85" s="301" t="s">
        <v>108</v>
      </c>
      <c r="K85" s="33" t="s">
        <v>109</v>
      </c>
      <c r="L85" s="33" t="s">
        <v>110</v>
      </c>
    </row>
    <row r="86" spans="1:13" s="74" customFormat="1" x14ac:dyDescent="0.25">
      <c r="A86" s="751" t="s">
        <v>56</v>
      </c>
      <c r="B86" s="84"/>
      <c r="C86" s="168"/>
      <c r="D86" s="169">
        <v>14</v>
      </c>
      <c r="E86" s="169">
        <v>12</v>
      </c>
      <c r="F86" s="169">
        <v>13</v>
      </c>
      <c r="G86" s="169">
        <v>13</v>
      </c>
      <c r="H86" s="169">
        <v>13</v>
      </c>
      <c r="I86" s="169">
        <v>13</v>
      </c>
      <c r="J86" s="169">
        <v>13</v>
      </c>
      <c r="K86" s="169">
        <v>13</v>
      </c>
      <c r="L86" s="169">
        <v>13</v>
      </c>
    </row>
    <row r="87" spans="1:13" x14ac:dyDescent="0.25">
      <c r="A87" s="170" t="s">
        <v>361</v>
      </c>
      <c r="B87" s="170" t="s">
        <v>503</v>
      </c>
      <c r="C87" s="206" t="s">
        <v>213</v>
      </c>
      <c r="D87" s="200">
        <v>719</v>
      </c>
      <c r="E87" s="175" t="s">
        <v>224</v>
      </c>
      <c r="F87" s="175" t="s">
        <v>227</v>
      </c>
      <c r="G87" s="175" t="s">
        <v>227</v>
      </c>
      <c r="H87" s="175" t="s">
        <v>224</v>
      </c>
      <c r="I87" s="175" t="s">
        <v>227</v>
      </c>
      <c r="J87" s="175" t="s">
        <v>224</v>
      </c>
      <c r="K87" s="175" t="s">
        <v>227</v>
      </c>
      <c r="L87" s="175" t="s">
        <v>227</v>
      </c>
    </row>
    <row r="88" spans="1:13" x14ac:dyDescent="0.25">
      <c r="A88" s="170" t="s">
        <v>163</v>
      </c>
      <c r="B88" s="170" t="s">
        <v>164</v>
      </c>
      <c r="C88" s="206" t="s">
        <v>213</v>
      </c>
      <c r="D88" s="200">
        <v>173</v>
      </c>
      <c r="E88" s="175" t="s">
        <v>224</v>
      </c>
      <c r="F88" s="175" t="s">
        <v>227</v>
      </c>
      <c r="G88" s="175" t="s">
        <v>227</v>
      </c>
      <c r="H88" s="175" t="s">
        <v>227</v>
      </c>
      <c r="I88" s="175" t="s">
        <v>227</v>
      </c>
      <c r="J88" s="175" t="s">
        <v>227</v>
      </c>
      <c r="K88" s="175" t="s">
        <v>227</v>
      </c>
      <c r="L88" s="175" t="s">
        <v>227</v>
      </c>
    </row>
    <row r="89" spans="1:13" x14ac:dyDescent="0.25">
      <c r="A89" s="170" t="s">
        <v>148</v>
      </c>
      <c r="B89" s="170" t="s">
        <v>504</v>
      </c>
      <c r="C89" s="206" t="s">
        <v>214</v>
      </c>
      <c r="D89" s="200">
        <v>890</v>
      </c>
      <c r="E89" s="175" t="s">
        <v>224</v>
      </c>
      <c r="F89" s="175" t="s">
        <v>227</v>
      </c>
      <c r="G89" s="175" t="s">
        <v>224</v>
      </c>
      <c r="H89" s="175" t="s">
        <v>227</v>
      </c>
      <c r="I89" s="175" t="s">
        <v>227</v>
      </c>
      <c r="J89" s="175" t="s">
        <v>224</v>
      </c>
      <c r="K89" s="175" t="s">
        <v>227</v>
      </c>
      <c r="L89" s="175" t="s">
        <v>227</v>
      </c>
    </row>
    <row r="90" spans="1:13" x14ac:dyDescent="0.25">
      <c r="A90" s="170" t="s">
        <v>148</v>
      </c>
      <c r="B90" s="170" t="s">
        <v>505</v>
      </c>
      <c r="C90" s="206" t="s">
        <v>214</v>
      </c>
      <c r="D90" s="200">
        <v>717</v>
      </c>
      <c r="E90" s="175" t="s">
        <v>224</v>
      </c>
      <c r="F90" s="175" t="s">
        <v>224</v>
      </c>
      <c r="G90" s="175" t="s">
        <v>224</v>
      </c>
      <c r="H90" s="175" t="s">
        <v>227</v>
      </c>
      <c r="I90" s="175" t="s">
        <v>227</v>
      </c>
      <c r="J90" s="175" t="s">
        <v>227</v>
      </c>
      <c r="K90" s="175" t="s">
        <v>227</v>
      </c>
      <c r="L90" s="175" t="s">
        <v>227</v>
      </c>
    </row>
    <row r="91" spans="1:13" x14ac:dyDescent="0.25">
      <c r="A91" s="170" t="s">
        <v>178</v>
      </c>
      <c r="B91" s="170" t="s">
        <v>243</v>
      </c>
      <c r="C91" s="206" t="s">
        <v>214</v>
      </c>
      <c r="D91" s="200">
        <v>470</v>
      </c>
      <c r="E91" s="175" t="s">
        <v>224</v>
      </c>
      <c r="F91" s="175" t="s">
        <v>227</v>
      </c>
      <c r="G91" s="175" t="s">
        <v>227</v>
      </c>
      <c r="H91" s="175" t="s">
        <v>224</v>
      </c>
      <c r="I91" s="175" t="s">
        <v>227</v>
      </c>
      <c r="J91" s="175" t="s">
        <v>227</v>
      </c>
      <c r="K91" s="175" t="s">
        <v>227</v>
      </c>
      <c r="L91" s="175" t="s">
        <v>227</v>
      </c>
    </row>
    <row r="92" spans="1:13" x14ac:dyDescent="0.25">
      <c r="A92" s="170" t="s">
        <v>364</v>
      </c>
      <c r="B92" s="170" t="s">
        <v>450</v>
      </c>
      <c r="C92" s="206" t="s">
        <v>213</v>
      </c>
      <c r="D92" s="200">
        <v>447</v>
      </c>
      <c r="E92" s="219" t="s">
        <v>233</v>
      </c>
      <c r="F92" s="175" t="s">
        <v>227</v>
      </c>
      <c r="G92" s="175" t="s">
        <v>224</v>
      </c>
      <c r="H92" s="175" t="s">
        <v>227</v>
      </c>
      <c r="I92" s="175" t="s">
        <v>224</v>
      </c>
      <c r="J92" s="175" t="s">
        <v>227</v>
      </c>
      <c r="K92" s="175" t="s">
        <v>227</v>
      </c>
      <c r="L92" s="175" t="s">
        <v>227</v>
      </c>
    </row>
    <row r="93" spans="1:13" x14ac:dyDescent="0.25">
      <c r="A93" s="170" t="s">
        <v>364</v>
      </c>
      <c r="B93" s="170" t="s">
        <v>506</v>
      </c>
      <c r="C93" s="206" t="s">
        <v>213</v>
      </c>
      <c r="D93" s="200">
        <v>792</v>
      </c>
      <c r="E93" s="175"/>
      <c r="F93" s="175" t="s">
        <v>227</v>
      </c>
      <c r="G93" s="175" t="s">
        <v>227</v>
      </c>
      <c r="H93" s="175" t="s">
        <v>227</v>
      </c>
      <c r="I93" s="175" t="s">
        <v>227</v>
      </c>
      <c r="J93" s="175" t="s">
        <v>227</v>
      </c>
      <c r="K93" s="175" t="s">
        <v>227</v>
      </c>
      <c r="L93" s="175" t="s">
        <v>227</v>
      </c>
    </row>
    <row r="94" spans="1:13" x14ac:dyDescent="0.25">
      <c r="A94" s="170" t="s">
        <v>364</v>
      </c>
      <c r="B94" s="170" t="s">
        <v>507</v>
      </c>
      <c r="C94" s="206" t="s">
        <v>213</v>
      </c>
      <c r="D94" s="200">
        <v>767</v>
      </c>
      <c r="E94" s="175"/>
      <c r="F94" s="175" t="s">
        <v>224</v>
      </c>
      <c r="G94" s="175" t="s">
        <v>224</v>
      </c>
      <c r="H94" s="175" t="s">
        <v>224</v>
      </c>
      <c r="I94" s="175" t="s">
        <v>227</v>
      </c>
      <c r="J94" s="175" t="s">
        <v>227</v>
      </c>
      <c r="K94" s="175" t="s">
        <v>227</v>
      </c>
      <c r="L94" s="175" t="s">
        <v>227</v>
      </c>
    </row>
    <row r="95" spans="1:13" x14ac:dyDescent="0.25">
      <c r="A95" s="170" t="s">
        <v>149</v>
      </c>
      <c r="B95" s="170" t="s">
        <v>312</v>
      </c>
      <c r="C95" s="206" t="s">
        <v>213</v>
      </c>
      <c r="D95" s="200">
        <v>466</v>
      </c>
      <c r="E95" s="175" t="s">
        <v>224</v>
      </c>
      <c r="F95" s="175" t="s">
        <v>227</v>
      </c>
      <c r="G95" s="175" t="s">
        <v>224</v>
      </c>
      <c r="H95" s="175" t="s">
        <v>227</v>
      </c>
      <c r="I95" s="175" t="s">
        <v>224</v>
      </c>
      <c r="J95" s="175" t="s">
        <v>224</v>
      </c>
      <c r="K95" s="175" t="s">
        <v>227</v>
      </c>
      <c r="L95" s="175" t="s">
        <v>227</v>
      </c>
    </row>
    <row r="96" spans="1:13" x14ac:dyDescent="0.25">
      <c r="A96" s="170" t="s">
        <v>183</v>
      </c>
      <c r="B96" s="170" t="s">
        <v>244</v>
      </c>
      <c r="C96" s="206" t="s">
        <v>213</v>
      </c>
      <c r="D96" s="200">
        <v>869</v>
      </c>
      <c r="E96" s="219" t="s">
        <v>233</v>
      </c>
      <c r="F96" s="219" t="s">
        <v>233</v>
      </c>
      <c r="G96" s="219" t="s">
        <v>233</v>
      </c>
      <c r="H96" s="219" t="s">
        <v>233</v>
      </c>
      <c r="I96" s="219" t="s">
        <v>233</v>
      </c>
      <c r="J96" s="219" t="s">
        <v>233</v>
      </c>
      <c r="K96" s="219" t="s">
        <v>233</v>
      </c>
      <c r="L96" s="219" t="s">
        <v>233</v>
      </c>
    </row>
    <row r="97" spans="1:16" x14ac:dyDescent="0.25">
      <c r="A97" s="170" t="s">
        <v>143</v>
      </c>
      <c r="B97" s="170" t="s">
        <v>508</v>
      </c>
      <c r="C97" s="206" t="s">
        <v>213</v>
      </c>
      <c r="D97" s="200">
        <v>105</v>
      </c>
      <c r="E97" s="175"/>
      <c r="F97" s="175" t="s">
        <v>227</v>
      </c>
      <c r="G97" s="175" t="s">
        <v>227</v>
      </c>
      <c r="H97" s="175" t="s">
        <v>227</v>
      </c>
      <c r="I97" s="175" t="s">
        <v>227</v>
      </c>
      <c r="J97" s="175" t="s">
        <v>227</v>
      </c>
      <c r="K97" s="175" t="s">
        <v>227</v>
      </c>
      <c r="L97" s="175" t="s">
        <v>227</v>
      </c>
    </row>
    <row r="98" spans="1:16" x14ac:dyDescent="0.25">
      <c r="A98" s="170" t="s">
        <v>257</v>
      </c>
      <c r="B98" s="170" t="s">
        <v>509</v>
      </c>
      <c r="C98" s="206" t="s">
        <v>214</v>
      </c>
      <c r="D98" s="200">
        <v>799</v>
      </c>
      <c r="E98" s="175"/>
      <c r="F98" s="175" t="s">
        <v>224</v>
      </c>
      <c r="G98" s="175" t="s">
        <v>224</v>
      </c>
      <c r="H98" s="175" t="s">
        <v>224</v>
      </c>
      <c r="I98" s="175" t="s">
        <v>227</v>
      </c>
      <c r="J98" s="175" t="s">
        <v>227</v>
      </c>
      <c r="K98" s="175" t="s">
        <v>227</v>
      </c>
      <c r="L98" s="175" t="s">
        <v>227</v>
      </c>
    </row>
    <row r="99" spans="1:16" x14ac:dyDescent="0.25">
      <c r="A99" s="170" t="s">
        <v>365</v>
      </c>
      <c r="B99" s="170" t="s">
        <v>313</v>
      </c>
      <c r="C99" s="206" t="s">
        <v>213</v>
      </c>
      <c r="D99" s="200">
        <v>698</v>
      </c>
      <c r="E99" s="175" t="s">
        <v>224</v>
      </c>
      <c r="F99" s="175" t="s">
        <v>227</v>
      </c>
      <c r="G99" s="175" t="s">
        <v>227</v>
      </c>
      <c r="H99" s="175" t="s">
        <v>227</v>
      </c>
      <c r="I99" s="175" t="s">
        <v>227</v>
      </c>
      <c r="J99" s="175" t="s">
        <v>227</v>
      </c>
      <c r="K99" s="175" t="s">
        <v>227</v>
      </c>
      <c r="L99" s="175" t="s">
        <v>227</v>
      </c>
    </row>
    <row r="100" spans="1:16" x14ac:dyDescent="0.25">
      <c r="A100" s="170" t="s">
        <v>174</v>
      </c>
      <c r="B100" s="170" t="s">
        <v>177</v>
      </c>
      <c r="C100" s="206" t="s">
        <v>213</v>
      </c>
      <c r="D100" s="200">
        <v>245</v>
      </c>
      <c r="E100" s="175" t="s">
        <v>224</v>
      </c>
      <c r="F100" s="175" t="s">
        <v>224</v>
      </c>
      <c r="G100" s="175" t="s">
        <v>224</v>
      </c>
      <c r="H100" s="175" t="s">
        <v>227</v>
      </c>
      <c r="I100" s="175" t="s">
        <v>227</v>
      </c>
      <c r="J100" s="175" t="s">
        <v>227</v>
      </c>
      <c r="K100" s="175" t="s">
        <v>227</v>
      </c>
      <c r="L100" s="175" t="s">
        <v>227</v>
      </c>
    </row>
    <row r="101" spans="1:16" s="136" customFormat="1" ht="12.75" x14ac:dyDescent="0.2">
      <c r="A101" s="179"/>
      <c r="B101" s="180"/>
      <c r="C101" s="181" t="s">
        <v>7</v>
      </c>
      <c r="D101" s="182">
        <f>SUM(D87:D100)</f>
        <v>8157</v>
      </c>
      <c r="E101" s="185">
        <v>8</v>
      </c>
      <c r="F101" s="185">
        <v>4</v>
      </c>
      <c r="G101" s="185">
        <v>7</v>
      </c>
      <c r="H101" s="185">
        <v>4</v>
      </c>
      <c r="I101" s="185">
        <v>2</v>
      </c>
      <c r="J101" s="185">
        <v>3</v>
      </c>
      <c r="K101" s="185">
        <v>0</v>
      </c>
      <c r="L101" s="185">
        <v>0</v>
      </c>
    </row>
    <row r="102" spans="1:16" s="136" customFormat="1" ht="12.75" x14ac:dyDescent="0.2">
      <c r="A102" s="186"/>
      <c r="B102" s="187"/>
      <c r="C102" s="188" t="s">
        <v>8</v>
      </c>
      <c r="D102" s="182">
        <f>AVERAGE(D87:D100)</f>
        <v>582.64285714285711</v>
      </c>
      <c r="E102" s="185"/>
      <c r="F102" s="185"/>
      <c r="G102" s="185"/>
      <c r="H102" s="185"/>
      <c r="I102" s="185"/>
      <c r="J102" s="185"/>
      <c r="K102" s="185"/>
      <c r="L102" s="185"/>
    </row>
    <row r="103" spans="1:16" s="136" customFormat="1" ht="12.75" x14ac:dyDescent="0.2">
      <c r="A103" s="186"/>
      <c r="B103" s="187"/>
      <c r="C103" s="188" t="s">
        <v>9</v>
      </c>
      <c r="D103" s="182">
        <f>MEDIAN(D87:D100)</f>
        <v>707.5</v>
      </c>
      <c r="E103" s="185"/>
      <c r="F103" s="185"/>
      <c r="G103" s="185"/>
      <c r="H103" s="185"/>
      <c r="I103" s="185"/>
      <c r="J103" s="185"/>
      <c r="K103" s="185"/>
      <c r="L103" s="185"/>
    </row>
    <row r="104" spans="1:16" s="142" customFormat="1" ht="12.75" x14ac:dyDescent="0.2">
      <c r="A104" s="191"/>
      <c r="B104" s="192"/>
      <c r="C104" s="188" t="s">
        <v>30</v>
      </c>
      <c r="D104" s="193"/>
      <c r="E104" s="195">
        <f t="shared" ref="E104:K104" si="12">+E101/E86</f>
        <v>0.66666666666666663</v>
      </c>
      <c r="F104" s="195">
        <f t="shared" si="12"/>
        <v>0.30769230769230771</v>
      </c>
      <c r="G104" s="195">
        <f t="shared" si="12"/>
        <v>0.53846153846153844</v>
      </c>
      <c r="H104" s="195">
        <f t="shared" si="12"/>
        <v>0.30769230769230771</v>
      </c>
      <c r="I104" s="195">
        <f t="shared" si="12"/>
        <v>0.15384615384615385</v>
      </c>
      <c r="J104" s="195">
        <f t="shared" si="12"/>
        <v>0.23076923076923078</v>
      </c>
      <c r="K104" s="195">
        <f t="shared" si="12"/>
        <v>0</v>
      </c>
      <c r="L104" s="195">
        <f>+L101/L86</f>
        <v>0</v>
      </c>
    </row>
    <row r="105" spans="1:16" x14ac:dyDescent="0.25">
      <c r="B105" s="150"/>
      <c r="C105" s="151"/>
    </row>
    <row r="106" spans="1:16" x14ac:dyDescent="0.25">
      <c r="B106" s="150"/>
      <c r="C106" s="151"/>
    </row>
    <row r="107" spans="1:16" s="161" customFormat="1" ht="15" customHeight="1" x14ac:dyDescent="0.2">
      <c r="A107" s="154" t="s">
        <v>671</v>
      </c>
      <c r="B107" s="246"/>
      <c r="C107" s="246"/>
      <c r="D107" s="247"/>
      <c r="E107" s="715"/>
      <c r="F107" s="715"/>
      <c r="G107" s="715"/>
      <c r="H107" s="715"/>
      <c r="I107" s="443"/>
      <c r="J107" s="443"/>
      <c r="K107" s="715"/>
      <c r="L107" s="715"/>
      <c r="M107" s="749"/>
    </row>
    <row r="108" spans="1:16" s="74" customFormat="1" ht="14.45" customHeight="1" x14ac:dyDescent="0.25">
      <c r="A108" s="750"/>
      <c r="B108" s="750"/>
      <c r="C108" s="750"/>
      <c r="D108" s="750"/>
      <c r="E108" s="734" t="s">
        <v>101</v>
      </c>
      <c r="F108" s="20" t="s">
        <v>102</v>
      </c>
      <c r="G108" s="719"/>
      <c r="H108" s="719"/>
      <c r="I108" s="719"/>
      <c r="J108" s="20" t="s">
        <v>103</v>
      </c>
      <c r="K108" s="719"/>
      <c r="L108" s="719"/>
      <c r="M108" s="753"/>
    </row>
    <row r="109" spans="1:16" s="74" customFormat="1" ht="51" x14ac:dyDescent="0.2">
      <c r="A109" s="196" t="s">
        <v>11</v>
      </c>
      <c r="B109" s="196" t="s">
        <v>12</v>
      </c>
      <c r="C109" s="196" t="s">
        <v>2</v>
      </c>
      <c r="D109" s="198" t="s">
        <v>5</v>
      </c>
      <c r="E109" s="737"/>
      <c r="F109" s="33" t="s">
        <v>104</v>
      </c>
      <c r="G109" s="33" t="s">
        <v>105</v>
      </c>
      <c r="H109" s="33" t="s">
        <v>106</v>
      </c>
      <c r="I109" s="33" t="s">
        <v>107</v>
      </c>
      <c r="J109" s="301" t="s">
        <v>108</v>
      </c>
      <c r="K109" s="33" t="s">
        <v>109</v>
      </c>
      <c r="L109" s="33" t="s">
        <v>110</v>
      </c>
    </row>
    <row r="110" spans="1:16" s="74" customFormat="1" x14ac:dyDescent="0.25">
      <c r="A110" s="751" t="s">
        <v>56</v>
      </c>
      <c r="B110" s="754"/>
      <c r="C110" s="755"/>
      <c r="D110" s="169">
        <v>7</v>
      </c>
      <c r="E110" s="169">
        <v>4</v>
      </c>
      <c r="F110" s="169">
        <v>5</v>
      </c>
      <c r="G110" s="169">
        <v>5</v>
      </c>
      <c r="H110" s="169">
        <v>5</v>
      </c>
      <c r="I110" s="169">
        <v>5</v>
      </c>
      <c r="J110" s="169">
        <v>5</v>
      </c>
      <c r="K110" s="169">
        <v>5</v>
      </c>
      <c r="L110" s="169">
        <v>5</v>
      </c>
      <c r="N110" s="161"/>
      <c r="P110" s="3" t="s">
        <v>227</v>
      </c>
    </row>
    <row r="111" spans="1:16" x14ac:dyDescent="0.25">
      <c r="A111" s="170" t="s">
        <v>361</v>
      </c>
      <c r="B111" s="170" t="s">
        <v>510</v>
      </c>
      <c r="C111" s="199" t="s">
        <v>215</v>
      </c>
      <c r="D111" s="209">
        <v>239</v>
      </c>
      <c r="E111" s="175" t="s">
        <v>224</v>
      </c>
      <c r="F111" s="175" t="s">
        <v>224</v>
      </c>
      <c r="G111" s="175" t="s">
        <v>224</v>
      </c>
      <c r="H111" s="175" t="s">
        <v>224</v>
      </c>
      <c r="I111" s="175" t="s">
        <v>227</v>
      </c>
      <c r="J111" s="175" t="s">
        <v>227</v>
      </c>
      <c r="K111" s="175" t="s">
        <v>227</v>
      </c>
      <c r="L111" s="276" t="s">
        <v>227</v>
      </c>
    </row>
    <row r="112" spans="1:16" x14ac:dyDescent="0.25">
      <c r="A112" s="170" t="s">
        <v>417</v>
      </c>
      <c r="B112" s="170" t="s">
        <v>245</v>
      </c>
      <c r="C112" s="199" t="s">
        <v>215</v>
      </c>
      <c r="D112" s="209">
        <v>469</v>
      </c>
      <c r="E112" s="175" t="s">
        <v>224</v>
      </c>
      <c r="F112" s="175" t="s">
        <v>227</v>
      </c>
      <c r="G112" s="175" t="s">
        <v>227</v>
      </c>
      <c r="H112" s="175" t="s">
        <v>227</v>
      </c>
      <c r="I112" s="175" t="s">
        <v>227</v>
      </c>
      <c r="J112" s="175" t="s">
        <v>227</v>
      </c>
      <c r="K112" s="175" t="s">
        <v>227</v>
      </c>
      <c r="L112" s="274" t="s">
        <v>224</v>
      </c>
    </row>
    <row r="113" spans="1:13" x14ac:dyDescent="0.25">
      <c r="A113" s="3" t="s">
        <v>364</v>
      </c>
      <c r="B113" s="3" t="s">
        <v>529</v>
      </c>
      <c r="C113" s="171" t="s">
        <v>215</v>
      </c>
      <c r="D113" s="212">
        <v>178</v>
      </c>
      <c r="E113" s="219" t="s">
        <v>233</v>
      </c>
      <c r="F113" s="219" t="s">
        <v>233</v>
      </c>
      <c r="G113" s="219" t="s">
        <v>233</v>
      </c>
      <c r="H113" s="219" t="s">
        <v>233</v>
      </c>
      <c r="I113" s="219" t="s">
        <v>233</v>
      </c>
      <c r="J113" s="219" t="s">
        <v>233</v>
      </c>
      <c r="K113" s="219" t="s">
        <v>233</v>
      </c>
      <c r="L113" s="219" t="s">
        <v>233</v>
      </c>
    </row>
    <row r="114" spans="1:13" x14ac:dyDescent="0.25">
      <c r="A114" s="170" t="s">
        <v>364</v>
      </c>
      <c r="B114" s="170" t="s">
        <v>511</v>
      </c>
      <c r="C114" s="199" t="s">
        <v>215</v>
      </c>
      <c r="D114" s="209">
        <v>176</v>
      </c>
      <c r="E114" s="175" t="s">
        <v>224</v>
      </c>
      <c r="F114" s="175" t="s">
        <v>227</v>
      </c>
      <c r="G114" s="175" t="s">
        <v>227</v>
      </c>
      <c r="H114" s="175" t="s">
        <v>227</v>
      </c>
      <c r="I114" s="175" t="s">
        <v>227</v>
      </c>
      <c r="J114" s="175" t="s">
        <v>227</v>
      </c>
      <c r="K114" s="175" t="s">
        <v>227</v>
      </c>
      <c r="L114" s="274"/>
    </row>
    <row r="115" spans="1:13" x14ac:dyDescent="0.25">
      <c r="A115" s="170" t="s">
        <v>485</v>
      </c>
      <c r="B115" s="170" t="s">
        <v>481</v>
      </c>
      <c r="C115" s="199" t="s">
        <v>215</v>
      </c>
      <c r="D115" s="209">
        <v>619</v>
      </c>
      <c r="E115" s="175" t="s">
        <v>224</v>
      </c>
      <c r="F115" s="175" t="s">
        <v>227</v>
      </c>
      <c r="G115" s="175" t="s">
        <v>227</v>
      </c>
      <c r="H115" s="175" t="s">
        <v>227</v>
      </c>
      <c r="I115" s="175" t="s">
        <v>227</v>
      </c>
      <c r="J115" s="175" t="s">
        <v>227</v>
      </c>
      <c r="K115" s="175" t="s">
        <v>227</v>
      </c>
      <c r="L115" s="274"/>
    </row>
    <row r="116" spans="1:13" x14ac:dyDescent="0.25">
      <c r="A116" s="170" t="s">
        <v>257</v>
      </c>
      <c r="B116" s="170" t="s">
        <v>482</v>
      </c>
      <c r="C116" s="199" t="s">
        <v>215</v>
      </c>
      <c r="D116" s="209">
        <v>26</v>
      </c>
      <c r="E116" s="219" t="s">
        <v>233</v>
      </c>
      <c r="F116" s="175" t="s">
        <v>224</v>
      </c>
      <c r="G116" s="175" t="s">
        <v>224</v>
      </c>
      <c r="H116" s="175" t="s">
        <v>227</v>
      </c>
      <c r="I116" s="175" t="s">
        <v>227</v>
      </c>
      <c r="J116" s="175" t="s">
        <v>227</v>
      </c>
      <c r="K116" s="175" t="s">
        <v>227</v>
      </c>
      <c r="L116" s="274"/>
    </row>
    <row r="117" spans="1:13" x14ac:dyDescent="0.25">
      <c r="A117" s="170" t="s">
        <v>166</v>
      </c>
      <c r="B117" s="170" t="s">
        <v>246</v>
      </c>
      <c r="C117" s="199" t="s">
        <v>215</v>
      </c>
      <c r="D117" s="209">
        <v>519</v>
      </c>
      <c r="E117" s="219" t="s">
        <v>233</v>
      </c>
      <c r="F117" s="219" t="s">
        <v>233</v>
      </c>
      <c r="G117" s="219" t="s">
        <v>233</v>
      </c>
      <c r="H117" s="219" t="s">
        <v>233</v>
      </c>
      <c r="I117" s="219" t="s">
        <v>233</v>
      </c>
      <c r="J117" s="219" t="s">
        <v>233</v>
      </c>
      <c r="K117" s="219" t="s">
        <v>233</v>
      </c>
      <c r="L117" s="219" t="s">
        <v>233</v>
      </c>
    </row>
    <row r="118" spans="1:13" s="136" customFormat="1" ht="12.75" x14ac:dyDescent="0.2">
      <c r="A118" s="179"/>
      <c r="B118" s="180"/>
      <c r="C118" s="205" t="s">
        <v>7</v>
      </c>
      <c r="D118" s="182">
        <f>SUM(D111:D117)</f>
        <v>2226</v>
      </c>
      <c r="E118" s="185">
        <v>4</v>
      </c>
      <c r="F118" s="185">
        <v>2</v>
      </c>
      <c r="G118" s="185">
        <v>2</v>
      </c>
      <c r="H118" s="185">
        <v>1</v>
      </c>
      <c r="I118" s="185">
        <v>0</v>
      </c>
      <c r="J118" s="185">
        <v>0</v>
      </c>
      <c r="K118" s="185">
        <v>0</v>
      </c>
      <c r="L118" s="185">
        <v>1</v>
      </c>
    </row>
    <row r="119" spans="1:13" s="136" customFormat="1" ht="12.75" x14ac:dyDescent="0.2">
      <c r="A119" s="186"/>
      <c r="B119" s="187"/>
      <c r="C119" s="188" t="s">
        <v>8</v>
      </c>
      <c r="D119" s="182">
        <f>AVERAGE(D111:D117)</f>
        <v>318</v>
      </c>
      <c r="E119" s="185"/>
      <c r="F119" s="185"/>
      <c r="G119" s="185"/>
      <c r="H119" s="185"/>
      <c r="I119" s="185"/>
      <c r="J119" s="185"/>
      <c r="K119" s="185"/>
      <c r="L119" s="185"/>
    </row>
    <row r="120" spans="1:13" s="136" customFormat="1" ht="12.75" x14ac:dyDescent="0.2">
      <c r="A120" s="186"/>
      <c r="B120" s="187"/>
      <c r="C120" s="188" t="s">
        <v>9</v>
      </c>
      <c r="D120" s="182">
        <f>MEDIAN(D111:D117)</f>
        <v>239</v>
      </c>
      <c r="E120" s="185"/>
      <c r="F120" s="185"/>
      <c r="G120" s="185"/>
      <c r="H120" s="185"/>
      <c r="I120" s="185"/>
      <c r="J120" s="185"/>
      <c r="K120" s="185"/>
      <c r="L120" s="185"/>
    </row>
    <row r="121" spans="1:13" s="142" customFormat="1" ht="12.75" x14ac:dyDescent="0.2">
      <c r="A121" s="191"/>
      <c r="B121" s="192"/>
      <c r="C121" s="188" t="s">
        <v>30</v>
      </c>
      <c r="D121" s="193"/>
      <c r="E121" s="195">
        <f t="shared" ref="E121:I121" si="13">+E118/E110</f>
        <v>1</v>
      </c>
      <c r="F121" s="195">
        <f t="shared" si="13"/>
        <v>0.4</v>
      </c>
      <c r="G121" s="195">
        <f t="shared" si="13"/>
        <v>0.4</v>
      </c>
      <c r="H121" s="195">
        <f t="shared" si="13"/>
        <v>0.2</v>
      </c>
      <c r="I121" s="195">
        <f t="shared" si="13"/>
        <v>0</v>
      </c>
      <c r="J121" s="195">
        <f>+J118/J110</f>
        <v>0</v>
      </c>
      <c r="K121" s="195">
        <f>+K118/K110</f>
        <v>0</v>
      </c>
      <c r="L121" s="195">
        <f>+L118/L110</f>
        <v>0.2</v>
      </c>
    </row>
    <row r="122" spans="1:13" x14ac:dyDescent="0.25">
      <c r="B122" s="150"/>
      <c r="C122" s="151"/>
    </row>
    <row r="123" spans="1:13" x14ac:dyDescent="0.25">
      <c r="B123" s="150"/>
      <c r="C123" s="151"/>
    </row>
    <row r="124" spans="1:13" s="161" customFormat="1" ht="15" customHeight="1" x14ac:dyDescent="0.2">
      <c r="A124" s="756" t="s">
        <v>672</v>
      </c>
      <c r="B124" s="246"/>
      <c r="C124" s="246"/>
      <c r="D124" s="247"/>
      <c r="E124" s="715"/>
      <c r="F124" s="715"/>
      <c r="G124" s="715"/>
      <c r="H124" s="715"/>
      <c r="I124" s="443"/>
      <c r="J124" s="443"/>
      <c r="K124" s="715"/>
      <c r="L124" s="715"/>
      <c r="M124" s="749"/>
    </row>
    <row r="125" spans="1:13" s="74" customFormat="1" ht="14.45" customHeight="1" x14ac:dyDescent="0.25">
      <c r="A125" s="750"/>
      <c r="B125" s="750"/>
      <c r="C125" s="750"/>
      <c r="D125" s="750"/>
      <c r="E125" s="734" t="s">
        <v>101</v>
      </c>
      <c r="F125" s="20" t="s">
        <v>102</v>
      </c>
      <c r="G125" s="719"/>
      <c r="H125" s="719"/>
      <c r="I125" s="719"/>
      <c r="J125" s="20" t="s">
        <v>103</v>
      </c>
      <c r="K125" s="719"/>
      <c r="L125" s="719"/>
      <c r="M125" s="753"/>
    </row>
    <row r="126" spans="1:13" s="74" customFormat="1" ht="51" x14ac:dyDescent="0.2">
      <c r="A126" s="196" t="s">
        <v>11</v>
      </c>
      <c r="B126" s="196" t="s">
        <v>12</v>
      </c>
      <c r="C126" s="196" t="s">
        <v>2</v>
      </c>
      <c r="D126" s="198" t="s">
        <v>5</v>
      </c>
      <c r="E126" s="737"/>
      <c r="F126" s="33" t="s">
        <v>104</v>
      </c>
      <c r="G126" s="33" t="s">
        <v>105</v>
      </c>
      <c r="H126" s="33" t="s">
        <v>106</v>
      </c>
      <c r="I126" s="33" t="s">
        <v>107</v>
      </c>
      <c r="J126" s="301" t="s">
        <v>108</v>
      </c>
      <c r="K126" s="33" t="s">
        <v>109</v>
      </c>
      <c r="L126" s="33" t="s">
        <v>110</v>
      </c>
    </row>
    <row r="127" spans="1:13" s="74" customFormat="1" x14ac:dyDescent="0.25">
      <c r="A127" s="751" t="s">
        <v>56</v>
      </c>
      <c r="B127" s="84"/>
      <c r="C127" s="168"/>
      <c r="D127" s="169">
        <v>62</v>
      </c>
      <c r="E127" s="169">
        <v>50</v>
      </c>
      <c r="F127" s="169">
        <v>54</v>
      </c>
      <c r="G127" s="169">
        <v>54</v>
      </c>
      <c r="H127" s="169">
        <v>53</v>
      </c>
      <c r="I127" s="169">
        <v>56</v>
      </c>
      <c r="J127" s="169">
        <v>54</v>
      </c>
      <c r="K127" s="169">
        <v>53</v>
      </c>
      <c r="L127" s="169">
        <v>51</v>
      </c>
    </row>
    <row r="128" spans="1:13" x14ac:dyDescent="0.25">
      <c r="A128" s="170" t="s">
        <v>361</v>
      </c>
      <c r="B128" s="170" t="s">
        <v>321</v>
      </c>
      <c r="C128" s="199" t="s">
        <v>216</v>
      </c>
      <c r="D128" s="200">
        <v>14</v>
      </c>
      <c r="E128" s="175" t="s">
        <v>224</v>
      </c>
      <c r="F128" s="175" t="s">
        <v>227</v>
      </c>
      <c r="G128" s="175" t="s">
        <v>224</v>
      </c>
      <c r="H128" s="219" t="s">
        <v>233</v>
      </c>
      <c r="I128" s="175" t="s">
        <v>224</v>
      </c>
      <c r="J128" s="175" t="s">
        <v>227</v>
      </c>
      <c r="K128" s="175" t="s">
        <v>227</v>
      </c>
      <c r="L128" s="175" t="s">
        <v>227</v>
      </c>
    </row>
    <row r="129" spans="1:12" x14ac:dyDescent="0.25">
      <c r="A129" s="170" t="s">
        <v>361</v>
      </c>
      <c r="B129" s="170" t="s">
        <v>512</v>
      </c>
      <c r="C129" s="199" t="s">
        <v>216</v>
      </c>
      <c r="D129" s="200">
        <v>257</v>
      </c>
      <c r="E129" s="175" t="s">
        <v>233</v>
      </c>
      <c r="F129" s="175" t="s">
        <v>227</v>
      </c>
      <c r="G129" s="175" t="s">
        <v>224</v>
      </c>
      <c r="H129" s="175" t="s">
        <v>224</v>
      </c>
      <c r="I129" s="175" t="s">
        <v>224</v>
      </c>
      <c r="J129" s="175" t="s">
        <v>227</v>
      </c>
      <c r="K129" s="175" t="s">
        <v>227</v>
      </c>
      <c r="L129" s="175" t="s">
        <v>227</v>
      </c>
    </row>
    <row r="130" spans="1:12" x14ac:dyDescent="0.25">
      <c r="A130" s="170" t="s">
        <v>361</v>
      </c>
      <c r="B130" s="170" t="s">
        <v>262</v>
      </c>
      <c r="C130" s="199" t="s">
        <v>216</v>
      </c>
      <c r="D130" s="200">
        <v>249</v>
      </c>
      <c r="E130" s="175" t="s">
        <v>224</v>
      </c>
      <c r="F130" s="175" t="s">
        <v>227</v>
      </c>
      <c r="G130" s="175" t="s">
        <v>224</v>
      </c>
      <c r="H130" s="219" t="s">
        <v>233</v>
      </c>
      <c r="I130" s="175" t="s">
        <v>224</v>
      </c>
      <c r="J130" s="175" t="s">
        <v>224</v>
      </c>
      <c r="K130" s="175" t="s">
        <v>227</v>
      </c>
      <c r="L130" s="175" t="s">
        <v>227</v>
      </c>
    </row>
    <row r="131" spans="1:12" x14ac:dyDescent="0.25">
      <c r="A131" s="170" t="s">
        <v>180</v>
      </c>
      <c r="B131" s="170" t="s">
        <v>263</v>
      </c>
      <c r="C131" s="199" t="s">
        <v>216</v>
      </c>
      <c r="D131" s="200">
        <v>389</v>
      </c>
      <c r="E131" s="175" t="s">
        <v>224</v>
      </c>
      <c r="F131" s="175" t="s">
        <v>227</v>
      </c>
      <c r="G131" s="175" t="s">
        <v>227</v>
      </c>
      <c r="H131" s="175" t="s">
        <v>227</v>
      </c>
      <c r="I131" s="175" t="s">
        <v>227</v>
      </c>
      <c r="J131" s="175" t="s">
        <v>227</v>
      </c>
      <c r="K131" s="175" t="s">
        <v>227</v>
      </c>
      <c r="L131" s="175" t="s">
        <v>227</v>
      </c>
    </row>
    <row r="132" spans="1:12" x14ac:dyDescent="0.25">
      <c r="A132" s="170" t="s">
        <v>163</v>
      </c>
      <c r="B132" s="170" t="s">
        <v>513</v>
      </c>
      <c r="C132" s="199" t="s">
        <v>216</v>
      </c>
      <c r="D132" s="200">
        <v>345</v>
      </c>
      <c r="E132" s="175" t="s">
        <v>224</v>
      </c>
      <c r="F132" s="175" t="s">
        <v>227</v>
      </c>
      <c r="G132" s="175" t="s">
        <v>227</v>
      </c>
      <c r="H132" s="175" t="s">
        <v>227</v>
      </c>
      <c r="I132" s="175" t="s">
        <v>227</v>
      </c>
      <c r="J132" s="175" t="s">
        <v>224</v>
      </c>
      <c r="K132" s="175" t="s">
        <v>227</v>
      </c>
      <c r="L132" s="175" t="s">
        <v>227</v>
      </c>
    </row>
    <row r="133" spans="1:12" x14ac:dyDescent="0.25">
      <c r="A133" s="170" t="s">
        <v>362</v>
      </c>
      <c r="B133" s="170" t="s">
        <v>322</v>
      </c>
      <c r="C133" s="199" t="s">
        <v>217</v>
      </c>
      <c r="D133" s="200">
        <v>424</v>
      </c>
      <c r="E133" s="175" t="s">
        <v>227</v>
      </c>
      <c r="F133" s="175" t="s">
        <v>227</v>
      </c>
      <c r="G133" s="175" t="s">
        <v>227</v>
      </c>
      <c r="H133" s="175" t="s">
        <v>227</v>
      </c>
      <c r="I133" s="175" t="s">
        <v>227</v>
      </c>
      <c r="J133" s="175" t="s">
        <v>227</v>
      </c>
      <c r="K133" s="175" t="s">
        <v>227</v>
      </c>
      <c r="L133" s="175" t="s">
        <v>227</v>
      </c>
    </row>
    <row r="134" spans="1:12" x14ac:dyDescent="0.25">
      <c r="A134" s="170" t="s">
        <v>362</v>
      </c>
      <c r="B134" s="170" t="s">
        <v>264</v>
      </c>
      <c r="C134" s="199" t="s">
        <v>217</v>
      </c>
      <c r="D134" s="200">
        <v>381</v>
      </c>
      <c r="E134" s="175" t="s">
        <v>227</v>
      </c>
      <c r="F134" s="175" t="s">
        <v>227</v>
      </c>
      <c r="G134" s="175" t="s">
        <v>227</v>
      </c>
      <c r="H134" s="175" t="s">
        <v>227</v>
      </c>
      <c r="I134" s="175" t="s">
        <v>227</v>
      </c>
      <c r="J134" s="175" t="s">
        <v>227</v>
      </c>
      <c r="K134" s="175" t="s">
        <v>227</v>
      </c>
      <c r="L134" s="175" t="s">
        <v>227</v>
      </c>
    </row>
    <row r="135" spans="1:12" x14ac:dyDescent="0.25">
      <c r="A135" s="170" t="s">
        <v>362</v>
      </c>
      <c r="B135" s="170" t="s">
        <v>514</v>
      </c>
      <c r="C135" s="199" t="s">
        <v>217</v>
      </c>
      <c r="D135" s="200">
        <v>199</v>
      </c>
      <c r="E135" s="175" t="s">
        <v>227</v>
      </c>
      <c r="F135" s="175" t="s">
        <v>227</v>
      </c>
      <c r="G135" s="175" t="s">
        <v>227</v>
      </c>
      <c r="H135" s="175" t="s">
        <v>227</v>
      </c>
      <c r="I135" s="175" t="s">
        <v>227</v>
      </c>
      <c r="J135" s="175" t="s">
        <v>227</v>
      </c>
      <c r="K135" s="175" t="s">
        <v>227</v>
      </c>
      <c r="L135" s="175" t="s">
        <v>227</v>
      </c>
    </row>
    <row r="136" spans="1:12" x14ac:dyDescent="0.25">
      <c r="A136" s="170" t="s">
        <v>362</v>
      </c>
      <c r="B136" s="170" t="s">
        <v>323</v>
      </c>
      <c r="C136" s="199" t="s">
        <v>217</v>
      </c>
      <c r="D136" s="200">
        <v>210</v>
      </c>
      <c r="E136" s="219" t="s">
        <v>233</v>
      </c>
      <c r="F136" s="219" t="s">
        <v>233</v>
      </c>
      <c r="G136" s="219" t="s">
        <v>233</v>
      </c>
      <c r="H136" s="219" t="s">
        <v>233</v>
      </c>
      <c r="I136" s="219" t="s">
        <v>233</v>
      </c>
      <c r="J136" s="219" t="s">
        <v>233</v>
      </c>
      <c r="K136" s="219" t="s">
        <v>233</v>
      </c>
      <c r="L136" s="219" t="s">
        <v>233</v>
      </c>
    </row>
    <row r="137" spans="1:12" x14ac:dyDescent="0.25">
      <c r="A137" s="170" t="s">
        <v>362</v>
      </c>
      <c r="B137" s="170" t="s">
        <v>265</v>
      </c>
      <c r="C137" s="199" t="s">
        <v>217</v>
      </c>
      <c r="D137" s="200">
        <v>323</v>
      </c>
      <c r="E137" s="175" t="s">
        <v>224</v>
      </c>
      <c r="F137" s="175" t="s">
        <v>224</v>
      </c>
      <c r="G137" s="175" t="s">
        <v>224</v>
      </c>
      <c r="H137" s="175" t="s">
        <v>227</v>
      </c>
      <c r="I137" s="175" t="s">
        <v>227</v>
      </c>
      <c r="J137" s="175" t="s">
        <v>227</v>
      </c>
      <c r="K137" s="175" t="s">
        <v>227</v>
      </c>
      <c r="L137" s="175" t="s">
        <v>227</v>
      </c>
    </row>
    <row r="138" spans="1:12" x14ac:dyDescent="0.25">
      <c r="A138" s="170" t="s">
        <v>362</v>
      </c>
      <c r="B138" s="170" t="s">
        <v>324</v>
      </c>
      <c r="C138" s="199" t="s">
        <v>217</v>
      </c>
      <c r="D138" s="200">
        <v>302</v>
      </c>
      <c r="E138" s="175" t="s">
        <v>224</v>
      </c>
      <c r="F138" s="175" t="s">
        <v>224</v>
      </c>
      <c r="G138" s="175" t="s">
        <v>224</v>
      </c>
      <c r="H138" s="175" t="s">
        <v>227</v>
      </c>
      <c r="I138" s="175" t="s">
        <v>227</v>
      </c>
      <c r="J138" s="175" t="s">
        <v>227</v>
      </c>
      <c r="K138" s="175" t="s">
        <v>227</v>
      </c>
      <c r="L138" s="175" t="s">
        <v>227</v>
      </c>
    </row>
    <row r="139" spans="1:12" x14ac:dyDescent="0.25">
      <c r="A139" s="170" t="s">
        <v>362</v>
      </c>
      <c r="B139" s="170" t="s">
        <v>515</v>
      </c>
      <c r="C139" s="199" t="s">
        <v>272</v>
      </c>
      <c r="D139" s="200">
        <v>260</v>
      </c>
      <c r="E139" s="219" t="s">
        <v>233</v>
      </c>
      <c r="F139" s="175" t="s">
        <v>227</v>
      </c>
      <c r="G139" s="175" t="s">
        <v>224</v>
      </c>
      <c r="H139" s="175" t="s">
        <v>227</v>
      </c>
      <c r="I139" s="175" t="s">
        <v>227</v>
      </c>
      <c r="J139" s="175" t="s">
        <v>227</v>
      </c>
      <c r="K139" s="175" t="s">
        <v>227</v>
      </c>
      <c r="L139" s="175" t="s">
        <v>227</v>
      </c>
    </row>
    <row r="140" spans="1:12" x14ac:dyDescent="0.25">
      <c r="A140" s="170" t="s">
        <v>362</v>
      </c>
      <c r="B140" s="170" t="s">
        <v>266</v>
      </c>
      <c r="C140" s="199" t="s">
        <v>217</v>
      </c>
      <c r="D140" s="200">
        <v>389</v>
      </c>
      <c r="E140" s="175" t="s">
        <v>224</v>
      </c>
      <c r="F140" s="175" t="s">
        <v>227</v>
      </c>
      <c r="G140" s="175" t="s">
        <v>227</v>
      </c>
      <c r="H140" s="175" t="s">
        <v>227</v>
      </c>
      <c r="I140" s="175" t="s">
        <v>227</v>
      </c>
      <c r="J140" s="175" t="s">
        <v>227</v>
      </c>
      <c r="K140" s="175" t="s">
        <v>227</v>
      </c>
      <c r="L140" s="175" t="s">
        <v>227</v>
      </c>
    </row>
    <row r="141" spans="1:12" x14ac:dyDescent="0.25">
      <c r="A141" s="170" t="s">
        <v>157</v>
      </c>
      <c r="B141" s="170" t="s">
        <v>516</v>
      </c>
      <c r="C141" s="199" t="s">
        <v>217</v>
      </c>
      <c r="D141" s="200">
        <v>4</v>
      </c>
      <c r="E141" s="219" t="s">
        <v>233</v>
      </c>
      <c r="F141" s="175" t="s">
        <v>227</v>
      </c>
      <c r="G141" s="175" t="s">
        <v>227</v>
      </c>
      <c r="H141" s="175" t="s">
        <v>227</v>
      </c>
      <c r="I141" s="175" t="s">
        <v>227</v>
      </c>
      <c r="J141" s="175" t="s">
        <v>227</v>
      </c>
      <c r="K141" s="175" t="s">
        <v>227</v>
      </c>
      <c r="L141" s="175" t="s">
        <v>227</v>
      </c>
    </row>
    <row r="142" spans="1:12" x14ac:dyDescent="0.25">
      <c r="A142" s="170" t="s">
        <v>157</v>
      </c>
      <c r="B142" s="170" t="s">
        <v>517</v>
      </c>
      <c r="C142" s="199" t="s">
        <v>217</v>
      </c>
      <c r="D142" s="200">
        <v>61</v>
      </c>
      <c r="E142" s="175" t="s">
        <v>224</v>
      </c>
      <c r="F142" s="175" t="s">
        <v>227</v>
      </c>
      <c r="G142" s="175" t="s">
        <v>227</v>
      </c>
      <c r="H142" s="175" t="s">
        <v>227</v>
      </c>
      <c r="I142" s="175" t="s">
        <v>227</v>
      </c>
      <c r="J142" s="175" t="s">
        <v>227</v>
      </c>
      <c r="K142" s="175" t="s">
        <v>227</v>
      </c>
      <c r="L142" s="175" t="s">
        <v>227</v>
      </c>
    </row>
    <row r="143" spans="1:12" x14ac:dyDescent="0.25">
      <c r="A143" s="170" t="s">
        <v>157</v>
      </c>
      <c r="B143" s="170" t="s">
        <v>518</v>
      </c>
      <c r="C143" s="171" t="s">
        <v>217</v>
      </c>
      <c r="D143" s="200">
        <v>12</v>
      </c>
      <c r="E143" s="175" t="s">
        <v>224</v>
      </c>
      <c r="F143" s="175" t="s">
        <v>227</v>
      </c>
      <c r="G143" s="175" t="s">
        <v>227</v>
      </c>
      <c r="H143" s="175" t="s">
        <v>227</v>
      </c>
      <c r="I143" s="175" t="s">
        <v>227</v>
      </c>
      <c r="J143" s="175" t="s">
        <v>227</v>
      </c>
      <c r="K143" s="175" t="s">
        <v>227</v>
      </c>
      <c r="L143" s="175" t="s">
        <v>227</v>
      </c>
    </row>
    <row r="144" spans="1:12" x14ac:dyDescent="0.25">
      <c r="A144" s="170" t="s">
        <v>182</v>
      </c>
      <c r="B144" s="170" t="s">
        <v>519</v>
      </c>
      <c r="C144" s="171" t="s">
        <v>275</v>
      </c>
      <c r="D144" s="200">
        <v>253</v>
      </c>
      <c r="E144" s="219" t="s">
        <v>233</v>
      </c>
      <c r="F144" s="219" t="s">
        <v>233</v>
      </c>
      <c r="G144" s="219" t="s">
        <v>233</v>
      </c>
      <c r="H144" s="219" t="s">
        <v>233</v>
      </c>
      <c r="I144" s="219" t="s">
        <v>233</v>
      </c>
      <c r="J144" s="219" t="s">
        <v>233</v>
      </c>
      <c r="K144" s="219" t="s">
        <v>233</v>
      </c>
      <c r="L144" s="219" t="s">
        <v>233</v>
      </c>
    </row>
    <row r="145" spans="1:14" x14ac:dyDescent="0.25">
      <c r="A145" s="170" t="s">
        <v>159</v>
      </c>
      <c r="B145" s="170" t="s">
        <v>267</v>
      </c>
      <c r="C145" s="171" t="s">
        <v>273</v>
      </c>
      <c r="D145" s="200">
        <v>236</v>
      </c>
      <c r="E145" s="175" t="s">
        <v>224</v>
      </c>
      <c r="F145" s="175" t="s">
        <v>224</v>
      </c>
      <c r="G145" s="175" t="s">
        <v>224</v>
      </c>
      <c r="H145" s="175" t="s">
        <v>224</v>
      </c>
      <c r="I145" s="175" t="s">
        <v>224</v>
      </c>
      <c r="J145" s="175" t="s">
        <v>227</v>
      </c>
      <c r="K145" s="175" t="s">
        <v>224</v>
      </c>
      <c r="L145" s="175" t="s">
        <v>227</v>
      </c>
    </row>
    <row r="146" spans="1:14" x14ac:dyDescent="0.25">
      <c r="A146" s="170" t="s">
        <v>168</v>
      </c>
      <c r="B146" s="170" t="s">
        <v>520</v>
      </c>
      <c r="C146" s="171" t="s">
        <v>274</v>
      </c>
      <c r="D146" s="200">
        <v>151</v>
      </c>
      <c r="E146" s="219" t="s">
        <v>233</v>
      </c>
      <c r="F146" s="219" t="s">
        <v>233</v>
      </c>
      <c r="G146" s="219" t="s">
        <v>233</v>
      </c>
      <c r="H146" s="219" t="s">
        <v>233</v>
      </c>
      <c r="I146" s="219" t="s">
        <v>233</v>
      </c>
      <c r="J146" s="219" t="s">
        <v>233</v>
      </c>
      <c r="K146" s="219" t="s">
        <v>233</v>
      </c>
      <c r="L146" s="219" t="s">
        <v>233</v>
      </c>
    </row>
    <row r="147" spans="1:14" x14ac:dyDescent="0.25">
      <c r="A147" s="170" t="s">
        <v>168</v>
      </c>
      <c r="B147" s="170" t="s">
        <v>268</v>
      </c>
      <c r="C147" s="171" t="s">
        <v>274</v>
      </c>
      <c r="D147" s="200">
        <v>208</v>
      </c>
      <c r="E147" s="219" t="s">
        <v>233</v>
      </c>
      <c r="F147" s="175" t="s">
        <v>227</v>
      </c>
      <c r="G147" s="175" t="s">
        <v>227</v>
      </c>
      <c r="H147" s="175" t="s">
        <v>227</v>
      </c>
      <c r="I147" s="175" t="s">
        <v>224</v>
      </c>
      <c r="J147" s="175" t="s">
        <v>227</v>
      </c>
      <c r="K147" s="175" t="s">
        <v>227</v>
      </c>
      <c r="L147" s="175" t="s">
        <v>227</v>
      </c>
    </row>
    <row r="148" spans="1:14" x14ac:dyDescent="0.25">
      <c r="A148" s="170" t="s">
        <v>148</v>
      </c>
      <c r="B148" s="170" t="s">
        <v>249</v>
      </c>
      <c r="C148" s="171" t="s">
        <v>217</v>
      </c>
      <c r="D148" s="200">
        <v>388</v>
      </c>
      <c r="E148" s="175" t="s">
        <v>224</v>
      </c>
      <c r="F148" s="175" t="s">
        <v>224</v>
      </c>
      <c r="G148" s="175" t="s">
        <v>227</v>
      </c>
      <c r="H148" s="175" t="s">
        <v>224</v>
      </c>
      <c r="I148" s="175" t="s">
        <v>227</v>
      </c>
      <c r="J148" s="175" t="s">
        <v>224</v>
      </c>
      <c r="K148" s="219" t="s">
        <v>233</v>
      </c>
      <c r="L148" s="219" t="s">
        <v>233</v>
      </c>
    </row>
    <row r="149" spans="1:14" x14ac:dyDescent="0.25">
      <c r="A149" s="170" t="s">
        <v>148</v>
      </c>
      <c r="B149" s="170" t="s">
        <v>521</v>
      </c>
      <c r="C149" s="171" t="s">
        <v>217</v>
      </c>
      <c r="D149" s="200">
        <v>312</v>
      </c>
      <c r="E149" s="175" t="s">
        <v>224</v>
      </c>
      <c r="F149" s="175" t="s">
        <v>227</v>
      </c>
      <c r="G149" s="175" t="s">
        <v>227</v>
      </c>
      <c r="H149" s="175" t="s">
        <v>227</v>
      </c>
      <c r="I149" s="175" t="s">
        <v>227</v>
      </c>
      <c r="J149" s="175" t="s">
        <v>224</v>
      </c>
      <c r="K149" s="175" t="s">
        <v>227</v>
      </c>
      <c r="L149" s="175" t="s">
        <v>227</v>
      </c>
    </row>
    <row r="150" spans="1:14" x14ac:dyDescent="0.25">
      <c r="A150" s="170" t="s">
        <v>148</v>
      </c>
      <c r="B150" s="170" t="s">
        <v>325</v>
      </c>
      <c r="C150" s="171" t="s">
        <v>217</v>
      </c>
      <c r="D150" s="200">
        <v>164</v>
      </c>
      <c r="E150" s="175" t="s">
        <v>227</v>
      </c>
      <c r="F150" s="175" t="s">
        <v>227</v>
      </c>
      <c r="G150" s="175" t="s">
        <v>227</v>
      </c>
      <c r="H150" s="175" t="s">
        <v>227</v>
      </c>
      <c r="I150" s="175" t="s">
        <v>227</v>
      </c>
      <c r="J150" s="175" t="s">
        <v>227</v>
      </c>
      <c r="K150" s="175" t="s">
        <v>227</v>
      </c>
      <c r="L150" s="175" t="s">
        <v>227</v>
      </c>
    </row>
    <row r="151" spans="1:14" x14ac:dyDescent="0.25">
      <c r="A151" s="170" t="s">
        <v>148</v>
      </c>
      <c r="B151" s="170" t="s">
        <v>522</v>
      </c>
      <c r="C151" s="199" t="s">
        <v>217</v>
      </c>
      <c r="D151" s="200">
        <v>354</v>
      </c>
      <c r="E151" s="175" t="s">
        <v>227</v>
      </c>
      <c r="F151" s="175" t="s">
        <v>227</v>
      </c>
      <c r="G151" s="175" t="s">
        <v>227</v>
      </c>
      <c r="H151" s="175" t="s">
        <v>227</v>
      </c>
      <c r="I151" s="175" t="s">
        <v>227</v>
      </c>
      <c r="J151" s="175" t="s">
        <v>227</v>
      </c>
      <c r="K151" s="175" t="s">
        <v>227</v>
      </c>
      <c r="L151" s="175" t="s">
        <v>227</v>
      </c>
    </row>
    <row r="152" spans="1:14" x14ac:dyDescent="0.25">
      <c r="A152" s="170" t="s">
        <v>148</v>
      </c>
      <c r="B152" s="170" t="s">
        <v>269</v>
      </c>
      <c r="C152" s="171" t="s">
        <v>222</v>
      </c>
      <c r="D152" s="200">
        <v>102</v>
      </c>
      <c r="E152" s="175" t="s">
        <v>224</v>
      </c>
      <c r="F152" s="175" t="s">
        <v>224</v>
      </c>
      <c r="G152" s="175" t="s">
        <v>224</v>
      </c>
      <c r="H152" s="175" t="s">
        <v>224</v>
      </c>
      <c r="I152" s="175" t="s">
        <v>227</v>
      </c>
      <c r="J152" s="175" t="s">
        <v>224</v>
      </c>
      <c r="K152" s="175" t="s">
        <v>224</v>
      </c>
      <c r="L152" s="219" t="s">
        <v>233</v>
      </c>
    </row>
    <row r="153" spans="1:14" x14ac:dyDescent="0.25">
      <c r="A153" s="170" t="s">
        <v>148</v>
      </c>
      <c r="B153" s="170" t="s">
        <v>523</v>
      </c>
      <c r="C153" s="199" t="s">
        <v>217</v>
      </c>
      <c r="D153" s="200">
        <v>82</v>
      </c>
      <c r="E153" s="219" t="s">
        <v>233</v>
      </c>
      <c r="F153" s="219" t="s">
        <v>233</v>
      </c>
      <c r="G153" s="219" t="s">
        <v>233</v>
      </c>
      <c r="H153" s="219" t="s">
        <v>233</v>
      </c>
      <c r="I153" s="175" t="s">
        <v>224</v>
      </c>
      <c r="J153" s="219" t="s">
        <v>233</v>
      </c>
      <c r="K153" s="219" t="s">
        <v>233</v>
      </c>
      <c r="L153" s="219" t="s">
        <v>233</v>
      </c>
    </row>
    <row r="154" spans="1:14" x14ac:dyDescent="0.25">
      <c r="A154" s="170" t="s">
        <v>148</v>
      </c>
      <c r="B154" s="170" t="s">
        <v>270</v>
      </c>
      <c r="C154" s="171" t="s">
        <v>217</v>
      </c>
      <c r="D154" s="200">
        <v>258</v>
      </c>
      <c r="E154" s="175" t="s">
        <v>224</v>
      </c>
      <c r="F154" s="175" t="s">
        <v>224</v>
      </c>
      <c r="G154" s="175" t="s">
        <v>224</v>
      </c>
      <c r="H154" s="175" t="s">
        <v>227</v>
      </c>
      <c r="I154" s="175" t="s">
        <v>227</v>
      </c>
      <c r="J154" s="175" t="s">
        <v>227</v>
      </c>
      <c r="K154" s="175" t="s">
        <v>227</v>
      </c>
      <c r="L154" s="175" t="s">
        <v>227</v>
      </c>
    </row>
    <row r="155" spans="1:14" x14ac:dyDescent="0.25">
      <c r="A155" s="170" t="s">
        <v>148</v>
      </c>
      <c r="B155" s="170" t="s">
        <v>524</v>
      </c>
      <c r="C155" s="171" t="s">
        <v>217</v>
      </c>
      <c r="D155" s="200">
        <v>286</v>
      </c>
      <c r="E155" s="219" t="s">
        <v>233</v>
      </c>
      <c r="F155" s="219" t="s">
        <v>233</v>
      </c>
      <c r="G155" s="219" t="s">
        <v>233</v>
      </c>
      <c r="H155" s="219" t="s">
        <v>233</v>
      </c>
      <c r="I155" s="219" t="s">
        <v>233</v>
      </c>
      <c r="J155" s="219" t="s">
        <v>233</v>
      </c>
      <c r="K155" s="219" t="s">
        <v>233</v>
      </c>
      <c r="L155" s="219" t="s">
        <v>233</v>
      </c>
    </row>
    <row r="156" spans="1:14" x14ac:dyDescent="0.25">
      <c r="A156" s="170" t="s">
        <v>148</v>
      </c>
      <c r="B156" s="170" t="s">
        <v>525</v>
      </c>
      <c r="C156" s="171" t="s">
        <v>218</v>
      </c>
      <c r="D156" s="200">
        <v>368</v>
      </c>
      <c r="E156" s="175" t="s">
        <v>227</v>
      </c>
      <c r="F156" s="175" t="s">
        <v>227</v>
      </c>
      <c r="G156" s="175" t="s">
        <v>227</v>
      </c>
      <c r="H156" s="175" t="s">
        <v>227</v>
      </c>
      <c r="I156" s="175" t="s">
        <v>227</v>
      </c>
      <c r="J156" s="175" t="s">
        <v>227</v>
      </c>
      <c r="K156" s="175" t="s">
        <v>227</v>
      </c>
      <c r="L156" s="175" t="s">
        <v>227</v>
      </c>
    </row>
    <row r="157" spans="1:14" x14ac:dyDescent="0.25">
      <c r="A157" s="170" t="s">
        <v>148</v>
      </c>
      <c r="B157" s="170" t="s">
        <v>526</v>
      </c>
      <c r="C157" s="199" t="s">
        <v>217</v>
      </c>
      <c r="D157" s="200">
        <v>344</v>
      </c>
      <c r="E157" s="175" t="s">
        <v>227</v>
      </c>
      <c r="F157" s="219" t="s">
        <v>233</v>
      </c>
      <c r="G157" s="219" t="s">
        <v>233</v>
      </c>
      <c r="H157" s="219" t="s">
        <v>233</v>
      </c>
      <c r="I157" s="175" t="s">
        <v>227</v>
      </c>
      <c r="J157" s="219" t="s">
        <v>233</v>
      </c>
      <c r="K157" s="219" t="s">
        <v>233</v>
      </c>
      <c r="L157" s="219" t="s">
        <v>233</v>
      </c>
      <c r="N157" s="3"/>
    </row>
    <row r="158" spans="1:14" x14ac:dyDescent="0.25">
      <c r="A158" s="170" t="s">
        <v>256</v>
      </c>
      <c r="B158" s="170" t="s">
        <v>527</v>
      </c>
      <c r="C158" s="199" t="s">
        <v>217</v>
      </c>
      <c r="D158" s="200">
        <v>32</v>
      </c>
      <c r="E158" s="175" t="s">
        <v>227</v>
      </c>
      <c r="F158" s="175" t="s">
        <v>227</v>
      </c>
      <c r="G158" s="175" t="s">
        <v>227</v>
      </c>
      <c r="H158" s="175" t="s">
        <v>227</v>
      </c>
      <c r="I158" s="175" t="s">
        <v>227</v>
      </c>
      <c r="J158" s="175" t="s">
        <v>227</v>
      </c>
      <c r="K158" s="175" t="s">
        <v>227</v>
      </c>
      <c r="L158" s="175" t="s">
        <v>227</v>
      </c>
    </row>
    <row r="159" spans="1:14" x14ac:dyDescent="0.25">
      <c r="A159" s="170" t="s">
        <v>178</v>
      </c>
      <c r="B159" s="170" t="s">
        <v>250</v>
      </c>
      <c r="C159" s="199" t="s">
        <v>222</v>
      </c>
      <c r="D159" s="200">
        <v>435</v>
      </c>
      <c r="E159" s="175" t="s">
        <v>224</v>
      </c>
      <c r="F159" s="175" t="s">
        <v>227</v>
      </c>
      <c r="G159" s="175" t="s">
        <v>227</v>
      </c>
      <c r="H159" s="175" t="s">
        <v>227</v>
      </c>
      <c r="I159" s="175" t="s">
        <v>227</v>
      </c>
      <c r="J159" s="175" t="s">
        <v>224</v>
      </c>
      <c r="K159" s="175" t="s">
        <v>224</v>
      </c>
      <c r="L159" s="219" t="s">
        <v>233</v>
      </c>
    </row>
    <row r="160" spans="1:14" x14ac:dyDescent="0.25">
      <c r="A160" s="170" t="s">
        <v>178</v>
      </c>
      <c r="B160" s="170" t="s">
        <v>187</v>
      </c>
      <c r="C160" s="220" t="s">
        <v>606</v>
      </c>
      <c r="D160" s="200">
        <v>285</v>
      </c>
      <c r="E160" s="175" t="s">
        <v>224</v>
      </c>
      <c r="F160" s="175" t="s">
        <v>227</v>
      </c>
      <c r="G160" s="175" t="s">
        <v>227</v>
      </c>
      <c r="H160" s="175" t="s">
        <v>227</v>
      </c>
      <c r="I160" s="175" t="s">
        <v>227</v>
      </c>
      <c r="J160" s="175" t="s">
        <v>224</v>
      </c>
      <c r="K160" s="175" t="s">
        <v>224</v>
      </c>
      <c r="L160" s="175" t="s">
        <v>227</v>
      </c>
    </row>
    <row r="161" spans="1:12" x14ac:dyDescent="0.25">
      <c r="A161" s="170" t="s">
        <v>178</v>
      </c>
      <c r="B161" s="170" t="s">
        <v>191</v>
      </c>
      <c r="C161" s="220" t="s">
        <v>223</v>
      </c>
      <c r="D161" s="200">
        <v>355</v>
      </c>
      <c r="E161" s="175" t="s">
        <v>224</v>
      </c>
      <c r="F161" s="175" t="s">
        <v>227</v>
      </c>
      <c r="G161" s="175" t="s">
        <v>227</v>
      </c>
      <c r="H161" s="175" t="s">
        <v>227</v>
      </c>
      <c r="I161" s="175" t="s">
        <v>227</v>
      </c>
      <c r="J161" s="219" t="s">
        <v>233</v>
      </c>
      <c r="K161" s="219" t="s">
        <v>233</v>
      </c>
      <c r="L161" s="219" t="s">
        <v>233</v>
      </c>
    </row>
    <row r="162" spans="1:12" x14ac:dyDescent="0.25">
      <c r="A162" s="170" t="s">
        <v>178</v>
      </c>
      <c r="B162" s="170" t="s">
        <v>197</v>
      </c>
      <c r="C162" s="171" t="s">
        <v>222</v>
      </c>
      <c r="D162" s="200">
        <v>387</v>
      </c>
      <c r="E162" s="175" t="s">
        <v>224</v>
      </c>
      <c r="F162" s="175" t="s">
        <v>227</v>
      </c>
      <c r="G162" s="175" t="s">
        <v>227</v>
      </c>
      <c r="H162" s="175" t="s">
        <v>227</v>
      </c>
      <c r="I162" s="175" t="s">
        <v>227</v>
      </c>
      <c r="J162" s="175" t="s">
        <v>224</v>
      </c>
      <c r="K162" s="175" t="s">
        <v>227</v>
      </c>
      <c r="L162" s="175" t="s">
        <v>227</v>
      </c>
    </row>
    <row r="163" spans="1:12" x14ac:dyDescent="0.25">
      <c r="A163" s="170" t="s">
        <v>364</v>
      </c>
      <c r="B163" s="170" t="s">
        <v>271</v>
      </c>
      <c r="C163" s="171" t="s">
        <v>216</v>
      </c>
      <c r="D163" s="200">
        <v>287</v>
      </c>
      <c r="E163" s="175" t="s">
        <v>227</v>
      </c>
      <c r="F163" s="175" t="s">
        <v>227</v>
      </c>
      <c r="G163" s="175" t="s">
        <v>224</v>
      </c>
      <c r="H163" s="175" t="s">
        <v>227</v>
      </c>
      <c r="I163" s="175" t="s">
        <v>224</v>
      </c>
      <c r="J163" s="175" t="s">
        <v>227</v>
      </c>
      <c r="K163" s="175" t="s">
        <v>227</v>
      </c>
      <c r="L163" s="175" t="s">
        <v>227</v>
      </c>
    </row>
    <row r="164" spans="1:12" x14ac:dyDescent="0.25">
      <c r="A164" s="170" t="s">
        <v>364</v>
      </c>
      <c r="B164" s="170" t="s">
        <v>326</v>
      </c>
      <c r="C164" s="171" t="s">
        <v>216</v>
      </c>
      <c r="D164" s="200">
        <v>332</v>
      </c>
      <c r="E164" s="175" t="s">
        <v>224</v>
      </c>
      <c r="F164" s="219" t="s">
        <v>233</v>
      </c>
      <c r="G164" s="219" t="s">
        <v>233</v>
      </c>
      <c r="H164" s="175" t="s">
        <v>224</v>
      </c>
      <c r="I164" s="219" t="s">
        <v>233</v>
      </c>
      <c r="J164" s="219" t="s">
        <v>233</v>
      </c>
      <c r="K164" s="219" t="s">
        <v>233</v>
      </c>
      <c r="L164" s="219" t="s">
        <v>233</v>
      </c>
    </row>
    <row r="165" spans="1:12" x14ac:dyDescent="0.25">
      <c r="A165" s="170" t="s">
        <v>364</v>
      </c>
      <c r="B165" s="170" t="s">
        <v>528</v>
      </c>
      <c r="C165" s="171" t="s">
        <v>216</v>
      </c>
      <c r="D165" s="200">
        <v>312</v>
      </c>
      <c r="E165" s="219" t="s">
        <v>233</v>
      </c>
      <c r="F165" s="175" t="s">
        <v>227</v>
      </c>
      <c r="G165" s="175" t="s">
        <v>227</v>
      </c>
      <c r="H165" s="175" t="s">
        <v>227</v>
      </c>
      <c r="I165" s="175" t="s">
        <v>227</v>
      </c>
      <c r="J165" s="175" t="s">
        <v>227</v>
      </c>
      <c r="K165" s="175" t="s">
        <v>224</v>
      </c>
      <c r="L165" s="175" t="s">
        <v>227</v>
      </c>
    </row>
    <row r="166" spans="1:12" x14ac:dyDescent="0.25">
      <c r="A166" s="170" t="s">
        <v>364</v>
      </c>
      <c r="B166" s="170" t="s">
        <v>190</v>
      </c>
      <c r="C166" s="171" t="s">
        <v>216</v>
      </c>
      <c r="D166" s="200">
        <v>293</v>
      </c>
      <c r="E166" s="175" t="s">
        <v>224</v>
      </c>
      <c r="F166" s="175" t="s">
        <v>224</v>
      </c>
      <c r="G166" s="175" t="s">
        <v>224</v>
      </c>
      <c r="H166" s="175" t="s">
        <v>224</v>
      </c>
      <c r="I166" s="175" t="s">
        <v>224</v>
      </c>
      <c r="J166" s="175" t="s">
        <v>224</v>
      </c>
      <c r="K166" s="175" t="s">
        <v>227</v>
      </c>
      <c r="L166" s="175" t="s">
        <v>227</v>
      </c>
    </row>
    <row r="167" spans="1:12" x14ac:dyDescent="0.25">
      <c r="A167" s="170" t="s">
        <v>364</v>
      </c>
      <c r="B167" s="170" t="s">
        <v>327</v>
      </c>
      <c r="C167" s="171" t="s">
        <v>216</v>
      </c>
      <c r="D167" s="200">
        <v>326</v>
      </c>
      <c r="E167" s="175" t="s">
        <v>224</v>
      </c>
      <c r="F167" s="175" t="s">
        <v>224</v>
      </c>
      <c r="G167" s="175" t="s">
        <v>227</v>
      </c>
      <c r="H167" s="175" t="s">
        <v>224</v>
      </c>
      <c r="I167" s="175" t="s">
        <v>224</v>
      </c>
      <c r="J167" s="175" t="s">
        <v>227</v>
      </c>
      <c r="K167" s="175" t="s">
        <v>227</v>
      </c>
      <c r="L167" s="175" t="s">
        <v>227</v>
      </c>
    </row>
    <row r="168" spans="1:12" x14ac:dyDescent="0.25">
      <c r="A168" s="170" t="s">
        <v>364</v>
      </c>
      <c r="B168" s="170" t="s">
        <v>530</v>
      </c>
      <c r="C168" s="171" t="s">
        <v>217</v>
      </c>
      <c r="D168" s="200">
        <v>442</v>
      </c>
      <c r="E168" s="175" t="s">
        <v>227</v>
      </c>
      <c r="F168" s="175" t="s">
        <v>224</v>
      </c>
      <c r="G168" s="175" t="s">
        <v>227</v>
      </c>
      <c r="H168" s="175" t="s">
        <v>227</v>
      </c>
      <c r="I168" s="175" t="s">
        <v>227</v>
      </c>
      <c r="J168" s="175" t="s">
        <v>227</v>
      </c>
      <c r="K168" s="175" t="s">
        <v>227</v>
      </c>
      <c r="L168" s="175" t="s">
        <v>227</v>
      </c>
    </row>
    <row r="169" spans="1:12" x14ac:dyDescent="0.25">
      <c r="A169" s="170" t="s">
        <v>184</v>
      </c>
      <c r="B169" s="170" t="s">
        <v>531</v>
      </c>
      <c r="C169" s="171" t="s">
        <v>216</v>
      </c>
      <c r="D169" s="200">
        <v>10</v>
      </c>
      <c r="E169" s="175" t="s">
        <v>227</v>
      </c>
      <c r="F169" s="175" t="s">
        <v>227</v>
      </c>
      <c r="G169" s="175" t="s">
        <v>227</v>
      </c>
      <c r="H169" s="175" t="s">
        <v>227</v>
      </c>
      <c r="I169" s="175" t="s">
        <v>227</v>
      </c>
      <c r="J169" s="175" t="s">
        <v>227</v>
      </c>
      <c r="K169" s="175" t="s">
        <v>227</v>
      </c>
      <c r="L169" s="175" t="s">
        <v>227</v>
      </c>
    </row>
    <row r="170" spans="1:12" x14ac:dyDescent="0.25">
      <c r="A170" s="170" t="s">
        <v>184</v>
      </c>
      <c r="B170" s="170" t="s">
        <v>199</v>
      </c>
      <c r="C170" s="171" t="s">
        <v>216</v>
      </c>
      <c r="D170" s="200">
        <v>296</v>
      </c>
      <c r="E170" s="175" t="s">
        <v>227</v>
      </c>
      <c r="F170" s="175" t="s">
        <v>227</v>
      </c>
      <c r="G170" s="175" t="s">
        <v>224</v>
      </c>
      <c r="H170" s="175" t="s">
        <v>224</v>
      </c>
      <c r="I170" s="175" t="s">
        <v>227</v>
      </c>
      <c r="J170" s="175" t="s">
        <v>227</v>
      </c>
      <c r="K170" s="175" t="s">
        <v>227</v>
      </c>
      <c r="L170" s="175" t="s">
        <v>227</v>
      </c>
    </row>
    <row r="171" spans="1:12" x14ac:dyDescent="0.25">
      <c r="A171" s="170" t="s">
        <v>149</v>
      </c>
      <c r="B171" s="170" t="s">
        <v>328</v>
      </c>
      <c r="C171" s="171" t="s">
        <v>216</v>
      </c>
      <c r="D171" s="200">
        <v>290</v>
      </c>
      <c r="E171" s="175" t="s">
        <v>224</v>
      </c>
      <c r="F171" s="175" t="s">
        <v>227</v>
      </c>
      <c r="G171" s="175" t="s">
        <v>227</v>
      </c>
      <c r="H171" s="175" t="s">
        <v>227</v>
      </c>
      <c r="I171" s="175" t="s">
        <v>224</v>
      </c>
      <c r="J171" s="175" t="s">
        <v>224</v>
      </c>
      <c r="K171" s="175" t="s">
        <v>227</v>
      </c>
      <c r="L171" s="175" t="s">
        <v>227</v>
      </c>
    </row>
    <row r="172" spans="1:12" x14ac:dyDescent="0.25">
      <c r="A172" s="170" t="s">
        <v>149</v>
      </c>
      <c r="B172" s="170" t="s">
        <v>329</v>
      </c>
      <c r="C172" s="171" t="s">
        <v>216</v>
      </c>
      <c r="D172" s="200">
        <v>301</v>
      </c>
      <c r="E172" s="175" t="s">
        <v>224</v>
      </c>
      <c r="F172" s="175" t="s">
        <v>227</v>
      </c>
      <c r="G172" s="175" t="s">
        <v>227</v>
      </c>
      <c r="H172" s="175" t="s">
        <v>227</v>
      </c>
      <c r="I172" s="175" t="s">
        <v>224</v>
      </c>
      <c r="J172" s="175" t="s">
        <v>224</v>
      </c>
      <c r="K172" s="175" t="s">
        <v>227</v>
      </c>
      <c r="L172" s="175" t="s">
        <v>227</v>
      </c>
    </row>
    <row r="173" spans="1:12" x14ac:dyDescent="0.25">
      <c r="A173" s="170" t="s">
        <v>149</v>
      </c>
      <c r="B173" s="170" t="s">
        <v>330</v>
      </c>
      <c r="C173" s="171" t="s">
        <v>216</v>
      </c>
      <c r="D173" s="200">
        <v>303</v>
      </c>
      <c r="E173" s="175" t="s">
        <v>224</v>
      </c>
      <c r="F173" s="175" t="s">
        <v>227</v>
      </c>
      <c r="G173" s="175" t="s">
        <v>227</v>
      </c>
      <c r="H173" s="175" t="s">
        <v>227</v>
      </c>
      <c r="I173" s="175" t="s">
        <v>224</v>
      </c>
      <c r="J173" s="175" t="s">
        <v>224</v>
      </c>
      <c r="K173" s="175" t="s">
        <v>227</v>
      </c>
      <c r="L173" s="175" t="s">
        <v>227</v>
      </c>
    </row>
    <row r="174" spans="1:12" x14ac:dyDescent="0.25">
      <c r="A174" s="170" t="s">
        <v>149</v>
      </c>
      <c r="B174" s="170" t="s">
        <v>331</v>
      </c>
      <c r="C174" s="171" t="s">
        <v>216</v>
      </c>
      <c r="D174" s="221">
        <v>5</v>
      </c>
      <c r="E174" s="175" t="s">
        <v>224</v>
      </c>
      <c r="F174" s="175" t="s">
        <v>227</v>
      </c>
      <c r="G174" s="175" t="s">
        <v>227</v>
      </c>
      <c r="H174" s="175" t="s">
        <v>227</v>
      </c>
      <c r="I174" s="175" t="s">
        <v>227</v>
      </c>
      <c r="J174" s="175" t="s">
        <v>227</v>
      </c>
      <c r="K174" s="175" t="s">
        <v>227</v>
      </c>
      <c r="L174" s="175" t="s">
        <v>227</v>
      </c>
    </row>
    <row r="175" spans="1:12" x14ac:dyDescent="0.25">
      <c r="A175" s="170" t="s">
        <v>149</v>
      </c>
      <c r="B175" s="170" t="s">
        <v>332</v>
      </c>
      <c r="C175" s="171" t="s">
        <v>216</v>
      </c>
      <c r="D175" s="200">
        <v>16</v>
      </c>
      <c r="E175" s="175" t="s">
        <v>224</v>
      </c>
      <c r="F175" s="175" t="s">
        <v>227</v>
      </c>
      <c r="G175" s="175" t="s">
        <v>227</v>
      </c>
      <c r="H175" s="175" t="s">
        <v>227</v>
      </c>
      <c r="I175" s="175" t="s">
        <v>227</v>
      </c>
      <c r="J175" s="175" t="s">
        <v>227</v>
      </c>
      <c r="K175" s="175" t="s">
        <v>227</v>
      </c>
      <c r="L175" s="175" t="s">
        <v>227</v>
      </c>
    </row>
    <row r="176" spans="1:12" x14ac:dyDescent="0.25">
      <c r="A176" s="170" t="s">
        <v>181</v>
      </c>
      <c r="B176" s="170" t="s">
        <v>532</v>
      </c>
      <c r="C176" s="171" t="s">
        <v>220</v>
      </c>
      <c r="D176" s="200">
        <v>192</v>
      </c>
      <c r="E176" s="175" t="s">
        <v>227</v>
      </c>
      <c r="F176" s="175" t="s">
        <v>227</v>
      </c>
      <c r="G176" s="175" t="s">
        <v>227</v>
      </c>
      <c r="H176" s="175" t="s">
        <v>227</v>
      </c>
      <c r="I176" s="175" t="s">
        <v>227</v>
      </c>
      <c r="J176" s="175" t="s">
        <v>227</v>
      </c>
      <c r="K176" s="175" t="s">
        <v>227</v>
      </c>
      <c r="L176" s="175" t="s">
        <v>227</v>
      </c>
    </row>
    <row r="177" spans="1:17" x14ac:dyDescent="0.25">
      <c r="A177" s="170" t="s">
        <v>181</v>
      </c>
      <c r="B177" s="170" t="s">
        <v>533</v>
      </c>
      <c r="C177" s="171" t="s">
        <v>221</v>
      </c>
      <c r="D177" s="200">
        <v>186</v>
      </c>
      <c r="E177" s="175" t="s">
        <v>227</v>
      </c>
      <c r="F177" s="175" t="s">
        <v>227</v>
      </c>
      <c r="G177" s="175" t="s">
        <v>227</v>
      </c>
      <c r="H177" s="175" t="s">
        <v>227</v>
      </c>
      <c r="I177" s="175" t="s">
        <v>227</v>
      </c>
      <c r="J177" s="175" t="s">
        <v>227</v>
      </c>
      <c r="K177" s="175" t="s">
        <v>227</v>
      </c>
      <c r="L177" s="175" t="s">
        <v>227</v>
      </c>
    </row>
    <row r="178" spans="1:17" x14ac:dyDescent="0.25">
      <c r="A178" s="170" t="s">
        <v>179</v>
      </c>
      <c r="B178" s="170" t="s">
        <v>251</v>
      </c>
      <c r="C178" s="171" t="s">
        <v>216</v>
      </c>
      <c r="D178" s="200">
        <v>212</v>
      </c>
      <c r="E178" s="175" t="s">
        <v>224</v>
      </c>
      <c r="F178" s="175" t="s">
        <v>227</v>
      </c>
      <c r="G178" s="175" t="s">
        <v>227</v>
      </c>
      <c r="H178" s="175" t="s">
        <v>224</v>
      </c>
      <c r="I178" s="175" t="s">
        <v>227</v>
      </c>
      <c r="J178" s="175" t="s">
        <v>227</v>
      </c>
      <c r="K178" s="175" t="s">
        <v>227</v>
      </c>
      <c r="L178" s="175" t="s">
        <v>227</v>
      </c>
    </row>
    <row r="179" spans="1:17" x14ac:dyDescent="0.25">
      <c r="A179" s="170" t="s">
        <v>183</v>
      </c>
      <c r="B179" s="170" t="s">
        <v>333</v>
      </c>
      <c r="C179" s="171" t="s">
        <v>216</v>
      </c>
      <c r="D179" s="200">
        <v>311</v>
      </c>
      <c r="E179" s="219" t="s">
        <v>233</v>
      </c>
      <c r="F179" s="175" t="s">
        <v>227</v>
      </c>
      <c r="G179" s="175" t="s">
        <v>227</v>
      </c>
      <c r="H179" s="175" t="s">
        <v>227</v>
      </c>
      <c r="I179" s="175" t="s">
        <v>227</v>
      </c>
      <c r="J179" s="175" t="s">
        <v>227</v>
      </c>
      <c r="K179" s="175" t="s">
        <v>227</v>
      </c>
      <c r="L179" s="175" t="s">
        <v>227</v>
      </c>
    </row>
    <row r="180" spans="1:17" x14ac:dyDescent="0.25">
      <c r="A180" s="170" t="s">
        <v>183</v>
      </c>
      <c r="B180" s="170" t="s">
        <v>534</v>
      </c>
      <c r="C180" s="171" t="s">
        <v>216</v>
      </c>
      <c r="D180" s="200">
        <v>307</v>
      </c>
      <c r="E180" s="175" t="s">
        <v>227</v>
      </c>
      <c r="F180" s="175" t="s">
        <v>227</v>
      </c>
      <c r="G180" s="175" t="s">
        <v>224</v>
      </c>
      <c r="H180" s="175" t="s">
        <v>227</v>
      </c>
      <c r="I180" s="175" t="s">
        <v>224</v>
      </c>
      <c r="J180" s="175" t="s">
        <v>227</v>
      </c>
      <c r="K180" s="175" t="s">
        <v>227</v>
      </c>
      <c r="L180" s="175" t="s">
        <v>227</v>
      </c>
      <c r="Q180" s="3"/>
    </row>
    <row r="181" spans="1:17" x14ac:dyDescent="0.25">
      <c r="A181" s="170" t="s">
        <v>183</v>
      </c>
      <c r="B181" s="170" t="s">
        <v>196</v>
      </c>
      <c r="C181" s="171" t="s">
        <v>216</v>
      </c>
      <c r="D181" s="200">
        <v>329</v>
      </c>
      <c r="E181" s="175" t="s">
        <v>224</v>
      </c>
      <c r="F181" s="175" t="s">
        <v>227</v>
      </c>
      <c r="G181" s="175" t="s">
        <v>224</v>
      </c>
      <c r="H181" s="175" t="s">
        <v>227</v>
      </c>
      <c r="I181" s="175" t="s">
        <v>227</v>
      </c>
      <c r="J181" s="175" t="s">
        <v>227</v>
      </c>
      <c r="K181" s="175" t="s">
        <v>227</v>
      </c>
      <c r="L181" s="175" t="s">
        <v>227</v>
      </c>
    </row>
    <row r="182" spans="1:17" x14ac:dyDescent="0.25">
      <c r="A182" s="170" t="s">
        <v>257</v>
      </c>
      <c r="B182" s="170" t="s">
        <v>535</v>
      </c>
      <c r="C182" s="171" t="s">
        <v>222</v>
      </c>
      <c r="D182" s="200">
        <v>434</v>
      </c>
      <c r="E182" s="219" t="s">
        <v>233</v>
      </c>
      <c r="F182" s="175" t="s">
        <v>224</v>
      </c>
      <c r="G182" s="175" t="s">
        <v>224</v>
      </c>
      <c r="H182" s="175" t="s">
        <v>227</v>
      </c>
      <c r="I182" s="175" t="s">
        <v>224</v>
      </c>
      <c r="J182" s="175" t="s">
        <v>227</v>
      </c>
      <c r="K182" s="175" t="s">
        <v>227</v>
      </c>
      <c r="L182" s="175" t="s">
        <v>227</v>
      </c>
    </row>
    <row r="183" spans="1:17" x14ac:dyDescent="0.25">
      <c r="A183" s="170" t="s">
        <v>365</v>
      </c>
      <c r="B183" s="170" t="s">
        <v>334</v>
      </c>
      <c r="C183" s="171" t="s">
        <v>216</v>
      </c>
      <c r="D183" s="200">
        <v>37</v>
      </c>
      <c r="E183" s="175" t="s">
        <v>224</v>
      </c>
      <c r="F183" s="219" t="s">
        <v>233</v>
      </c>
      <c r="G183" s="219" t="s">
        <v>233</v>
      </c>
      <c r="H183" s="219" t="s">
        <v>233</v>
      </c>
      <c r="I183" s="219" t="s">
        <v>233</v>
      </c>
      <c r="J183" s="175" t="s">
        <v>224</v>
      </c>
      <c r="K183" s="175" t="s">
        <v>227</v>
      </c>
      <c r="L183" s="175" t="s">
        <v>227</v>
      </c>
    </row>
    <row r="184" spans="1:17" x14ac:dyDescent="0.25">
      <c r="A184" s="170" t="s">
        <v>365</v>
      </c>
      <c r="B184" s="170" t="s">
        <v>335</v>
      </c>
      <c r="C184" s="171" t="s">
        <v>216</v>
      </c>
      <c r="D184" s="200">
        <v>304</v>
      </c>
      <c r="E184" s="175" t="s">
        <v>224</v>
      </c>
      <c r="F184" s="175" t="s">
        <v>224</v>
      </c>
      <c r="G184" s="175" t="s">
        <v>224</v>
      </c>
      <c r="H184" s="175" t="s">
        <v>224</v>
      </c>
      <c r="I184" s="175" t="s">
        <v>224</v>
      </c>
      <c r="J184" s="175" t="s">
        <v>227</v>
      </c>
      <c r="K184" s="175" t="s">
        <v>227</v>
      </c>
      <c r="L184" s="175" t="s">
        <v>227</v>
      </c>
    </row>
    <row r="185" spans="1:17" x14ac:dyDescent="0.25">
      <c r="A185" s="170" t="s">
        <v>365</v>
      </c>
      <c r="B185" s="170" t="s">
        <v>536</v>
      </c>
      <c r="C185" s="171" t="s">
        <v>216</v>
      </c>
      <c r="D185" s="200">
        <v>390</v>
      </c>
      <c r="E185" s="175" t="s">
        <v>224</v>
      </c>
      <c r="F185" s="175" t="s">
        <v>227</v>
      </c>
      <c r="G185" s="175" t="s">
        <v>227</v>
      </c>
      <c r="H185" s="175" t="s">
        <v>224</v>
      </c>
      <c r="I185" s="175" t="s">
        <v>224</v>
      </c>
      <c r="J185" s="175" t="s">
        <v>227</v>
      </c>
      <c r="K185" s="175" t="s">
        <v>227</v>
      </c>
      <c r="L185" s="175" t="s">
        <v>227</v>
      </c>
    </row>
    <row r="186" spans="1:17" x14ac:dyDescent="0.25">
      <c r="A186" s="170" t="s">
        <v>174</v>
      </c>
      <c r="B186" s="170" t="s">
        <v>202</v>
      </c>
      <c r="C186" s="171" t="s">
        <v>219</v>
      </c>
      <c r="D186" s="200">
        <v>166</v>
      </c>
      <c r="E186" s="175" t="s">
        <v>227</v>
      </c>
      <c r="F186" s="175" t="s">
        <v>227</v>
      </c>
      <c r="G186" s="175" t="s">
        <v>224</v>
      </c>
      <c r="H186" s="175" t="s">
        <v>227</v>
      </c>
      <c r="I186" s="175" t="s">
        <v>224</v>
      </c>
      <c r="J186" s="175" t="s">
        <v>227</v>
      </c>
      <c r="K186" s="175" t="s">
        <v>227</v>
      </c>
      <c r="L186" s="175" t="s">
        <v>227</v>
      </c>
    </row>
    <row r="187" spans="1:17" x14ac:dyDescent="0.25">
      <c r="A187" s="170" t="s">
        <v>174</v>
      </c>
      <c r="B187" s="170" t="s">
        <v>173</v>
      </c>
      <c r="C187" s="171" t="s">
        <v>275</v>
      </c>
      <c r="D187" s="200">
        <v>187</v>
      </c>
      <c r="E187" s="175" t="s">
        <v>227</v>
      </c>
      <c r="F187" s="175" t="s">
        <v>227</v>
      </c>
      <c r="G187" s="175" t="s">
        <v>224</v>
      </c>
      <c r="H187" s="175" t="s">
        <v>227</v>
      </c>
      <c r="I187" s="175" t="s">
        <v>227</v>
      </c>
      <c r="J187" s="175" t="s">
        <v>227</v>
      </c>
      <c r="K187" s="175" t="s">
        <v>227</v>
      </c>
      <c r="L187" s="175" t="s">
        <v>227</v>
      </c>
    </row>
    <row r="188" spans="1:17" x14ac:dyDescent="0.25">
      <c r="A188" s="170" t="s">
        <v>174</v>
      </c>
      <c r="B188" s="170" t="s">
        <v>175</v>
      </c>
      <c r="C188" s="171" t="s">
        <v>273</v>
      </c>
      <c r="D188" s="200">
        <v>164</v>
      </c>
      <c r="E188" s="175" t="s">
        <v>227</v>
      </c>
      <c r="F188" s="175" t="s">
        <v>227</v>
      </c>
      <c r="G188" s="175" t="s">
        <v>224</v>
      </c>
      <c r="H188" s="175" t="s">
        <v>224</v>
      </c>
      <c r="I188" s="175" t="s">
        <v>227</v>
      </c>
      <c r="J188" s="175" t="s">
        <v>227</v>
      </c>
      <c r="K188" s="175" t="s">
        <v>227</v>
      </c>
      <c r="L188" s="175" t="s">
        <v>227</v>
      </c>
    </row>
    <row r="189" spans="1:17" x14ac:dyDescent="0.25">
      <c r="A189" s="170" t="s">
        <v>366</v>
      </c>
      <c r="B189" s="170" t="s">
        <v>502</v>
      </c>
      <c r="C189" s="171" t="s">
        <v>216</v>
      </c>
      <c r="D189" s="200">
        <v>350</v>
      </c>
      <c r="E189" s="175" t="s">
        <v>224</v>
      </c>
      <c r="F189" s="175" t="s">
        <v>227</v>
      </c>
      <c r="G189" s="175" t="s">
        <v>227</v>
      </c>
      <c r="H189" s="175" t="s">
        <v>227</v>
      </c>
      <c r="I189" s="175" t="s">
        <v>227</v>
      </c>
      <c r="J189" s="175" t="s">
        <v>227</v>
      </c>
      <c r="K189" s="175" t="s">
        <v>227</v>
      </c>
      <c r="L189" s="175" t="s">
        <v>227</v>
      </c>
    </row>
    <row r="190" spans="1:17" s="136" customFormat="1" ht="12.75" x14ac:dyDescent="0.2">
      <c r="A190" s="179"/>
      <c r="B190" s="180"/>
      <c r="C190" s="205" t="s">
        <v>7</v>
      </c>
      <c r="D190" s="182">
        <f>SUM(D128:D189)</f>
        <v>15601</v>
      </c>
      <c r="E190" s="185">
        <v>32</v>
      </c>
      <c r="F190" s="185">
        <v>11</v>
      </c>
      <c r="G190" s="185">
        <v>19</v>
      </c>
      <c r="H190" s="185">
        <v>12</v>
      </c>
      <c r="I190" s="185">
        <v>17</v>
      </c>
      <c r="J190" s="185">
        <v>13</v>
      </c>
      <c r="K190" s="185">
        <v>5</v>
      </c>
      <c r="L190" s="185">
        <v>0</v>
      </c>
    </row>
    <row r="191" spans="1:17" s="136" customFormat="1" ht="12.75" x14ac:dyDescent="0.2">
      <c r="A191" s="186"/>
      <c r="B191" s="187"/>
      <c r="C191" s="188" t="s">
        <v>8</v>
      </c>
      <c r="D191" s="182">
        <f>AVERAGE(D128:D189)</f>
        <v>251.62903225806451</v>
      </c>
      <c r="E191" s="185"/>
      <c r="F191" s="185"/>
      <c r="G191" s="185"/>
      <c r="H191" s="185"/>
      <c r="I191" s="185"/>
      <c r="J191" s="185"/>
      <c r="K191" s="185"/>
      <c r="L191" s="185"/>
    </row>
    <row r="192" spans="1:17" s="136" customFormat="1" ht="12.75" x14ac:dyDescent="0.2">
      <c r="A192" s="186"/>
      <c r="B192" s="187"/>
      <c r="C192" s="188" t="s">
        <v>9</v>
      </c>
      <c r="D192" s="182">
        <f>MEDIAN(D128:D189)</f>
        <v>288.5</v>
      </c>
      <c r="E192" s="185"/>
      <c r="F192" s="185"/>
      <c r="G192" s="185"/>
      <c r="H192" s="185"/>
      <c r="I192" s="185"/>
      <c r="J192" s="185"/>
      <c r="K192" s="185"/>
      <c r="L192" s="185"/>
    </row>
    <row r="193" spans="1:42" s="142" customFormat="1" ht="12.75" x14ac:dyDescent="0.2">
      <c r="A193" s="191"/>
      <c r="B193" s="192"/>
      <c r="C193" s="188" t="s">
        <v>30</v>
      </c>
      <c r="D193" s="193"/>
      <c r="E193" s="195">
        <f t="shared" ref="E193:L193" si="14">+E190/E127</f>
        <v>0.64</v>
      </c>
      <c r="F193" s="195">
        <f t="shared" si="14"/>
        <v>0.20370370370370369</v>
      </c>
      <c r="G193" s="195">
        <f t="shared" si="14"/>
        <v>0.35185185185185186</v>
      </c>
      <c r="H193" s="195">
        <f t="shared" si="14"/>
        <v>0.22641509433962265</v>
      </c>
      <c r="I193" s="195">
        <f t="shared" si="14"/>
        <v>0.30357142857142855</v>
      </c>
      <c r="J193" s="195">
        <f t="shared" si="14"/>
        <v>0.24074074074074073</v>
      </c>
      <c r="K193" s="195">
        <f t="shared" si="14"/>
        <v>9.4339622641509441E-2</v>
      </c>
      <c r="L193" s="195">
        <f t="shared" si="14"/>
        <v>0</v>
      </c>
    </row>
    <row r="194" spans="1:42" x14ac:dyDescent="0.25">
      <c r="C194" s="223"/>
      <c r="H194" s="3"/>
      <c r="I194" s="3"/>
      <c r="K194" s="3"/>
      <c r="L194" s="3"/>
      <c r="M194" s="3"/>
    </row>
    <row r="195" spans="1:42" x14ac:dyDescent="0.25">
      <c r="C195" s="223"/>
    </row>
    <row r="196" spans="1:42" x14ac:dyDescent="0.25">
      <c r="D196" s="150"/>
    </row>
    <row r="197" spans="1:42" x14ac:dyDescent="0.25">
      <c r="D197" s="150"/>
      <c r="AP197" s="757"/>
    </row>
    <row r="198" spans="1:42" x14ac:dyDescent="0.25">
      <c r="D198" s="223"/>
    </row>
    <row r="199" spans="1:42" x14ac:dyDescent="0.25">
      <c r="D199" s="223"/>
    </row>
    <row r="200" spans="1:42" x14ac:dyDescent="0.25">
      <c r="D200" s="150"/>
    </row>
    <row r="201" spans="1:42" x14ac:dyDescent="0.25">
      <c r="D201" s="150"/>
    </row>
  </sheetData>
  <sheetProtection sheet="1" objects="1" scenarios="1"/>
  <mergeCells count="31">
    <mergeCell ref="A127:C127"/>
    <mergeCell ref="A86:C86"/>
    <mergeCell ref="E108:E109"/>
    <mergeCell ref="F108:I108"/>
    <mergeCell ref="J108:L108"/>
    <mergeCell ref="A110:C110"/>
    <mergeCell ref="E125:E126"/>
    <mergeCell ref="F125:I125"/>
    <mergeCell ref="J125:L125"/>
    <mergeCell ref="E84:E85"/>
    <mergeCell ref="F84:I84"/>
    <mergeCell ref="J84:L84"/>
    <mergeCell ref="A20:C20"/>
    <mergeCell ref="E23:E24"/>
    <mergeCell ref="F23:I23"/>
    <mergeCell ref="J23:L23"/>
    <mergeCell ref="A25:C25"/>
    <mergeCell ref="E54:E55"/>
    <mergeCell ref="F54:I54"/>
    <mergeCell ref="J54:L54"/>
    <mergeCell ref="A56:C56"/>
    <mergeCell ref="E70:E71"/>
    <mergeCell ref="F70:I70"/>
    <mergeCell ref="J70:L70"/>
    <mergeCell ref="A72:C72"/>
    <mergeCell ref="C6:C7"/>
    <mergeCell ref="D6:G6"/>
    <mergeCell ref="H6:J6"/>
    <mergeCell ref="E18:E19"/>
    <mergeCell ref="F18:I18"/>
    <mergeCell ref="J18:L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F2966-E784-4CA5-A673-8AAC08869842}">
  <sheetPr>
    <pageSetUpPr fitToPage="1"/>
  </sheetPr>
  <dimension ref="A1:N187"/>
  <sheetViews>
    <sheetView zoomScaleNormal="100" workbookViewId="0">
      <pane ySplit="18" topLeftCell="A19" activePane="bottomLeft" state="frozen"/>
      <selection activeCell="A20" sqref="A20:XFD20"/>
      <selection pane="bottomLeft" sqref="A1:XFD1048576"/>
    </sheetView>
  </sheetViews>
  <sheetFormatPr defaultRowHeight="15" x14ac:dyDescent="0.25"/>
  <cols>
    <col min="1" max="1" width="14.7109375" style="4" customWidth="1"/>
    <col min="2" max="2" width="35" style="4" customWidth="1"/>
    <col min="3" max="3" width="9.28515625" style="4" customWidth="1"/>
    <col min="4" max="4" width="11.140625" style="4" customWidth="1"/>
    <col min="5" max="5" width="16.140625" style="4" customWidth="1"/>
    <col min="6" max="6" width="16.7109375" style="4" customWidth="1"/>
    <col min="7" max="7" width="16.28515625" style="4" customWidth="1"/>
    <col min="8" max="8" width="14" style="4" customWidth="1"/>
    <col min="9" max="9" width="12.28515625" style="4" customWidth="1"/>
    <col min="10" max="10" width="10.5703125" style="4" customWidth="1"/>
    <col min="11" max="11" width="10.140625" style="4" customWidth="1"/>
    <col min="12" max="16384" width="9.140625" style="4"/>
  </cols>
  <sheetData>
    <row r="1" spans="1:14" s="5" customFormat="1" ht="15.75" x14ac:dyDescent="0.25">
      <c r="A1" s="2" t="s">
        <v>354</v>
      </c>
      <c r="B1" s="3"/>
      <c r="C1" s="4"/>
      <c r="D1" s="4"/>
      <c r="E1" s="4"/>
      <c r="F1" s="4"/>
      <c r="G1" s="480"/>
      <c r="H1" s="480"/>
      <c r="I1" s="480"/>
      <c r="J1" s="758"/>
      <c r="K1" s="758"/>
    </row>
    <row r="2" spans="1:14" s="6" customFormat="1" ht="15.75" x14ac:dyDescent="0.25">
      <c r="A2" s="2" t="s">
        <v>111</v>
      </c>
      <c r="D2" s="7"/>
      <c r="E2" s="7"/>
      <c r="F2" s="7"/>
      <c r="G2" s="759"/>
      <c r="H2" s="759"/>
      <c r="I2" s="759"/>
      <c r="J2" s="759"/>
      <c r="K2" s="11"/>
      <c r="L2" s="7"/>
      <c r="M2" s="7"/>
      <c r="N2" s="7"/>
    </row>
    <row r="3" spans="1:14" s="1" customFormat="1" ht="15.75" x14ac:dyDescent="0.25">
      <c r="A3" s="394"/>
      <c r="B3" s="6"/>
      <c r="D3" s="13"/>
      <c r="E3" s="13"/>
      <c r="F3" s="13"/>
      <c r="G3" s="438"/>
      <c r="H3" s="438"/>
      <c r="I3" s="438"/>
      <c r="J3" s="438"/>
      <c r="K3" s="11"/>
      <c r="L3" s="13"/>
      <c r="M3" s="13"/>
      <c r="N3" s="13"/>
    </row>
    <row r="4" spans="1:14" s="1" customFormat="1" x14ac:dyDescent="0.25">
      <c r="A4" s="14" t="s">
        <v>4</v>
      </c>
      <c r="B4" s="629"/>
      <c r="C4" s="760"/>
      <c r="D4" s="761"/>
      <c r="E4" s="398" t="s">
        <v>112</v>
      </c>
      <c r="F4" s="21"/>
      <c r="G4" s="398" t="s">
        <v>113</v>
      </c>
      <c r="H4" s="462"/>
      <c r="I4" s="462"/>
      <c r="J4" s="462"/>
      <c r="K4" s="293"/>
    </row>
    <row r="5" spans="1:14" s="1" customFormat="1" ht="38.25" x14ac:dyDescent="0.2">
      <c r="B5" s="26" t="s">
        <v>6</v>
      </c>
      <c r="C5" s="762"/>
      <c r="D5" s="763"/>
      <c r="E5" s="764" t="s">
        <v>114</v>
      </c>
      <c r="F5" s="33" t="s">
        <v>115</v>
      </c>
      <c r="G5" s="33" t="s">
        <v>116</v>
      </c>
      <c r="H5" s="33" t="s">
        <v>117</v>
      </c>
      <c r="I5" s="33" t="s">
        <v>118</v>
      </c>
      <c r="J5" s="33" t="s">
        <v>119</v>
      </c>
      <c r="K5" s="33" t="s">
        <v>120</v>
      </c>
    </row>
    <row r="6" spans="1:14" s="1" customFormat="1" x14ac:dyDescent="0.25">
      <c r="B6" s="34" t="s">
        <v>290</v>
      </c>
      <c r="C6" s="765"/>
      <c r="D6" s="766"/>
      <c r="E6" s="767">
        <f t="shared" ref="E6:K6" si="0">E47</f>
        <v>0.94117647058823528</v>
      </c>
      <c r="F6" s="767">
        <f t="shared" si="0"/>
        <v>0.41176470588235292</v>
      </c>
      <c r="G6" s="767">
        <f t="shared" si="0"/>
        <v>1</v>
      </c>
      <c r="H6" s="767">
        <f t="shared" si="0"/>
        <v>0.88235294117647056</v>
      </c>
      <c r="I6" s="767">
        <f t="shared" si="0"/>
        <v>1</v>
      </c>
      <c r="J6" s="767">
        <f t="shared" si="0"/>
        <v>0.83333333333333337</v>
      </c>
      <c r="K6" s="767">
        <f t="shared" si="0"/>
        <v>0.78947368421052633</v>
      </c>
    </row>
    <row r="7" spans="1:14" s="1" customFormat="1" x14ac:dyDescent="0.25">
      <c r="B7" s="34" t="s">
        <v>668</v>
      </c>
      <c r="C7" s="765"/>
      <c r="D7" s="766"/>
      <c r="E7" s="738">
        <f t="shared" ref="E7:K7" si="1">E62</f>
        <v>0.5</v>
      </c>
      <c r="F7" s="738">
        <f t="shared" si="1"/>
        <v>0.4</v>
      </c>
      <c r="G7" s="738">
        <f t="shared" si="1"/>
        <v>1</v>
      </c>
      <c r="H7" s="738">
        <f t="shared" si="1"/>
        <v>0.4</v>
      </c>
      <c r="I7" s="738">
        <f t="shared" si="1"/>
        <v>0.6</v>
      </c>
      <c r="J7" s="738">
        <f t="shared" si="1"/>
        <v>0.4</v>
      </c>
      <c r="K7" s="738">
        <f t="shared" si="1"/>
        <v>0.4</v>
      </c>
    </row>
    <row r="8" spans="1:14" s="1" customFormat="1" x14ac:dyDescent="0.25">
      <c r="B8" s="34" t="s">
        <v>669</v>
      </c>
      <c r="C8" s="765"/>
      <c r="D8" s="766"/>
      <c r="E8" s="738">
        <f t="shared" ref="E8:K8" si="2">E75</f>
        <v>1</v>
      </c>
      <c r="F8" s="738">
        <f t="shared" si="2"/>
        <v>0.5</v>
      </c>
      <c r="G8" s="738">
        <f t="shared" si="2"/>
        <v>1</v>
      </c>
      <c r="H8" s="738">
        <f t="shared" si="2"/>
        <v>1</v>
      </c>
      <c r="I8" s="738">
        <f t="shared" si="2"/>
        <v>0.5</v>
      </c>
      <c r="J8" s="738">
        <f t="shared" si="2"/>
        <v>1</v>
      </c>
      <c r="K8" s="738">
        <f t="shared" si="2"/>
        <v>1</v>
      </c>
    </row>
    <row r="9" spans="1:14" s="1" customFormat="1" x14ac:dyDescent="0.25">
      <c r="B9" s="34" t="s">
        <v>673</v>
      </c>
      <c r="C9" s="765"/>
      <c r="D9" s="766"/>
      <c r="E9" s="738">
        <f t="shared" ref="E9:K9" si="3">E98</f>
        <v>0.84615384615384615</v>
      </c>
      <c r="F9" s="738">
        <f t="shared" si="3"/>
        <v>0.41666666666666669</v>
      </c>
      <c r="G9" s="738">
        <f t="shared" si="3"/>
        <v>0.92307692307692313</v>
      </c>
      <c r="H9" s="738">
        <f t="shared" si="3"/>
        <v>1</v>
      </c>
      <c r="I9" s="738">
        <f t="shared" si="3"/>
        <v>1</v>
      </c>
      <c r="J9" s="738">
        <f t="shared" si="3"/>
        <v>0.91666666666666663</v>
      </c>
      <c r="K9" s="738">
        <f t="shared" si="3"/>
        <v>0.75</v>
      </c>
    </row>
    <row r="10" spans="1:14" s="1" customFormat="1" x14ac:dyDescent="0.25">
      <c r="B10" s="34" t="s">
        <v>671</v>
      </c>
      <c r="C10" s="765"/>
      <c r="D10" s="766"/>
      <c r="E10" s="738">
        <f t="shared" ref="E10:K10" si="4">E114</f>
        <v>0.5</v>
      </c>
      <c r="F10" s="738">
        <f t="shared" si="4"/>
        <v>0</v>
      </c>
      <c r="G10" s="738">
        <f t="shared" si="4"/>
        <v>0.8</v>
      </c>
      <c r="H10" s="738">
        <f t="shared" si="4"/>
        <v>1</v>
      </c>
      <c r="I10" s="738">
        <f t="shared" si="4"/>
        <v>0.75</v>
      </c>
      <c r="J10" s="738">
        <f t="shared" si="4"/>
        <v>1</v>
      </c>
      <c r="K10" s="738">
        <f t="shared" si="4"/>
        <v>0.75</v>
      </c>
    </row>
    <row r="11" spans="1:14" s="1" customFormat="1" x14ac:dyDescent="0.25">
      <c r="B11" s="34" t="s">
        <v>672</v>
      </c>
      <c r="C11" s="765"/>
      <c r="D11" s="766"/>
      <c r="E11" s="738">
        <f t="shared" ref="E11:K11" si="5">E185</f>
        <v>0.83636363636363631</v>
      </c>
      <c r="F11" s="738">
        <f t="shared" si="5"/>
        <v>0.57692307692307687</v>
      </c>
      <c r="G11" s="738">
        <f t="shared" si="5"/>
        <v>0.94545454545454544</v>
      </c>
      <c r="H11" s="738">
        <f t="shared" si="5"/>
        <v>0.72549019607843135</v>
      </c>
      <c r="I11" s="738">
        <f t="shared" si="5"/>
        <v>0.82692307692307687</v>
      </c>
      <c r="J11" s="738">
        <f t="shared" si="5"/>
        <v>0.78</v>
      </c>
      <c r="K11" s="738">
        <f t="shared" si="5"/>
        <v>0.69811320754716977</v>
      </c>
    </row>
    <row r="12" spans="1:14" s="1" customFormat="1" ht="12.75" x14ac:dyDescent="0.2">
      <c r="B12" s="43" t="s">
        <v>674</v>
      </c>
      <c r="C12" s="768"/>
      <c r="D12" s="769"/>
      <c r="E12" s="49">
        <f t="shared" ref="E12:K12" si="6">+E13/E18</f>
        <v>0.83333333333333337</v>
      </c>
      <c r="F12" s="49">
        <f t="shared" si="6"/>
        <v>0.49450549450549453</v>
      </c>
      <c r="G12" s="49">
        <f t="shared" si="6"/>
        <v>0.95</v>
      </c>
      <c r="H12" s="49">
        <f t="shared" si="6"/>
        <v>0.79569892473118276</v>
      </c>
      <c r="I12" s="49">
        <f t="shared" si="6"/>
        <v>0.85869565217391308</v>
      </c>
      <c r="J12" s="49">
        <f t="shared" si="6"/>
        <v>0.80434782608695654</v>
      </c>
      <c r="K12" s="49">
        <f t="shared" si="6"/>
        <v>0.71875</v>
      </c>
    </row>
    <row r="13" spans="1:14" s="1" customFormat="1" x14ac:dyDescent="0.25">
      <c r="B13" s="699" t="s">
        <v>83</v>
      </c>
      <c r="C13" s="700"/>
      <c r="D13" s="701"/>
      <c r="E13" s="702">
        <f t="shared" ref="E13:K13" si="7">SUM(E44,E59,E72,E95,E111,E182)</f>
        <v>80</v>
      </c>
      <c r="F13" s="702">
        <f t="shared" si="7"/>
        <v>45</v>
      </c>
      <c r="G13" s="702">
        <f t="shared" si="7"/>
        <v>95</v>
      </c>
      <c r="H13" s="702">
        <f t="shared" si="7"/>
        <v>74</v>
      </c>
      <c r="I13" s="702">
        <f t="shared" si="7"/>
        <v>79</v>
      </c>
      <c r="J13" s="702">
        <f t="shared" si="7"/>
        <v>74</v>
      </c>
      <c r="K13" s="702">
        <f t="shared" si="7"/>
        <v>69</v>
      </c>
    </row>
    <row r="14" spans="1:14" s="1" customFormat="1" ht="12.75" x14ac:dyDescent="0.2">
      <c r="B14" s="87"/>
      <c r="C14" s="88"/>
      <c r="D14" s="88"/>
      <c r="G14" s="331"/>
      <c r="H14" s="331"/>
      <c r="I14" s="331"/>
      <c r="J14" s="331"/>
      <c r="K14" s="331"/>
    </row>
    <row r="15" spans="1:14" s="1" customFormat="1" ht="12.75" x14ac:dyDescent="0.2">
      <c r="A15" s="14" t="s">
        <v>10</v>
      </c>
      <c r="B15" s="87"/>
      <c r="C15" s="88"/>
      <c r="D15" s="88"/>
      <c r="G15" s="331"/>
      <c r="H15" s="331"/>
      <c r="I15" s="331"/>
      <c r="J15" s="331"/>
      <c r="K15" s="331"/>
    </row>
    <row r="16" spans="1:14" s="74" customFormat="1" ht="12.75" customHeight="1" x14ac:dyDescent="0.25">
      <c r="A16" s="705"/>
      <c r="B16" s="706"/>
      <c r="C16" s="706"/>
      <c r="D16" s="707"/>
      <c r="E16" s="69" t="s">
        <v>121</v>
      </c>
      <c r="F16" s="85"/>
      <c r="G16" s="69" t="s">
        <v>122</v>
      </c>
      <c r="H16" s="770"/>
      <c r="I16" s="770"/>
      <c r="J16" s="770"/>
      <c r="K16" s="85"/>
    </row>
    <row r="17" spans="1:14" s="74" customFormat="1" ht="38.25" x14ac:dyDescent="0.2">
      <c r="A17" s="75" t="s">
        <v>11</v>
      </c>
      <c r="B17" s="75" t="s">
        <v>12</v>
      </c>
      <c r="C17" s="75" t="s">
        <v>2</v>
      </c>
      <c r="D17" s="771" t="s">
        <v>5</v>
      </c>
      <c r="E17" s="772" t="s">
        <v>114</v>
      </c>
      <c r="F17" s="82" t="s">
        <v>115</v>
      </c>
      <c r="G17" s="82" t="s">
        <v>116</v>
      </c>
      <c r="H17" s="82" t="s">
        <v>117</v>
      </c>
      <c r="I17" s="82" t="s">
        <v>118</v>
      </c>
      <c r="J17" s="82" t="s">
        <v>119</v>
      </c>
      <c r="K17" s="82" t="s">
        <v>120</v>
      </c>
    </row>
    <row r="18" spans="1:14" s="74" customFormat="1" x14ac:dyDescent="0.25">
      <c r="A18" s="83" t="s">
        <v>123</v>
      </c>
      <c r="B18" s="84"/>
      <c r="C18" s="168"/>
      <c r="D18" s="773">
        <v>114</v>
      </c>
      <c r="E18" s="773">
        <f t="shared" ref="E18:K18" si="8">+E22+E52+E67+E80+E103+E119</f>
        <v>96</v>
      </c>
      <c r="F18" s="773">
        <f t="shared" si="8"/>
        <v>91</v>
      </c>
      <c r="G18" s="773">
        <f t="shared" si="8"/>
        <v>100</v>
      </c>
      <c r="H18" s="773">
        <f t="shared" si="8"/>
        <v>93</v>
      </c>
      <c r="I18" s="773">
        <f t="shared" si="8"/>
        <v>92</v>
      </c>
      <c r="J18" s="773">
        <f t="shared" si="8"/>
        <v>92</v>
      </c>
      <c r="K18" s="773">
        <f t="shared" si="8"/>
        <v>96</v>
      </c>
    </row>
    <row r="19" spans="1:14" s="1" customFormat="1" ht="15.75" x14ac:dyDescent="0.25">
      <c r="A19" s="39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161" customFormat="1" ht="12.75" customHeight="1" x14ac:dyDescent="0.25">
      <c r="A20" s="154" t="s">
        <v>290</v>
      </c>
      <c r="B20" s="156"/>
      <c r="C20" s="156"/>
      <c r="D20" s="248"/>
      <c r="E20" s="20" t="s">
        <v>121</v>
      </c>
      <c r="F20" s="293"/>
      <c r="G20" s="20" t="s">
        <v>122</v>
      </c>
      <c r="H20" s="462"/>
      <c r="I20" s="462"/>
      <c r="J20" s="462"/>
      <c r="K20" s="293"/>
    </row>
    <row r="21" spans="1:14" s="74" customFormat="1" ht="38.25" x14ac:dyDescent="0.2">
      <c r="A21" s="196" t="s">
        <v>11</v>
      </c>
      <c r="B21" s="196" t="s">
        <v>12</v>
      </c>
      <c r="C21" s="196" t="s">
        <v>2</v>
      </c>
      <c r="D21" s="722" t="s">
        <v>5</v>
      </c>
      <c r="E21" s="764" t="s">
        <v>114</v>
      </c>
      <c r="F21" s="33" t="s">
        <v>115</v>
      </c>
      <c r="G21" s="33" t="s">
        <v>116</v>
      </c>
      <c r="H21" s="33" t="s">
        <v>117</v>
      </c>
      <c r="I21" s="33" t="s">
        <v>118</v>
      </c>
      <c r="J21" s="33" t="s">
        <v>119</v>
      </c>
      <c r="K21" s="33" t="s">
        <v>120</v>
      </c>
    </row>
    <row r="22" spans="1:14" s="74" customFormat="1" x14ac:dyDescent="0.25">
      <c r="A22" s="167" t="s">
        <v>123</v>
      </c>
      <c r="B22" s="754"/>
      <c r="C22" s="755"/>
      <c r="D22" s="169">
        <v>21</v>
      </c>
      <c r="E22" s="169">
        <v>17</v>
      </c>
      <c r="F22" s="169">
        <v>17</v>
      </c>
      <c r="G22" s="169">
        <v>19</v>
      </c>
      <c r="H22" s="169">
        <v>17</v>
      </c>
      <c r="I22" s="169">
        <v>16</v>
      </c>
      <c r="J22" s="169">
        <v>18</v>
      </c>
      <c r="K22" s="169">
        <v>19</v>
      </c>
    </row>
    <row r="23" spans="1:14" x14ac:dyDescent="0.25">
      <c r="A23" s="170" t="s">
        <v>361</v>
      </c>
      <c r="B23" s="170" t="s">
        <v>253</v>
      </c>
      <c r="C23" s="464" t="s">
        <v>209</v>
      </c>
      <c r="D23" s="115">
        <v>1092</v>
      </c>
      <c r="E23" s="219" t="s">
        <v>233</v>
      </c>
      <c r="F23" s="219" t="s">
        <v>233</v>
      </c>
      <c r="G23" s="175" t="s">
        <v>224</v>
      </c>
      <c r="H23" s="219" t="s">
        <v>233</v>
      </c>
      <c r="I23" s="175" t="s">
        <v>224</v>
      </c>
      <c r="J23" s="175" t="s">
        <v>224</v>
      </c>
      <c r="K23" s="175" t="s">
        <v>224</v>
      </c>
    </row>
    <row r="24" spans="1:14" x14ac:dyDescent="0.25">
      <c r="A24" s="170" t="s">
        <v>163</v>
      </c>
      <c r="B24" s="170" t="s">
        <v>162</v>
      </c>
      <c r="C24" s="464" t="s">
        <v>209</v>
      </c>
      <c r="D24" s="115">
        <v>220</v>
      </c>
      <c r="E24" s="175" t="s">
        <v>224</v>
      </c>
      <c r="F24" s="175" t="s">
        <v>224</v>
      </c>
      <c r="G24" s="175" t="s">
        <v>224</v>
      </c>
      <c r="H24" s="175" t="s">
        <v>224</v>
      </c>
      <c r="I24" s="175" t="s">
        <v>224</v>
      </c>
      <c r="J24" s="175" t="s">
        <v>224</v>
      </c>
      <c r="K24" s="175" t="s">
        <v>224</v>
      </c>
    </row>
    <row r="25" spans="1:14" x14ac:dyDescent="0.25">
      <c r="A25" s="170" t="s">
        <v>156</v>
      </c>
      <c r="B25" s="170" t="s">
        <v>236</v>
      </c>
      <c r="C25" s="464" t="s">
        <v>209</v>
      </c>
      <c r="D25" s="115">
        <v>153</v>
      </c>
      <c r="E25" s="175" t="s">
        <v>224</v>
      </c>
      <c r="F25" s="175" t="s">
        <v>227</v>
      </c>
      <c r="G25" s="175" t="s">
        <v>224</v>
      </c>
      <c r="H25" s="175" t="s">
        <v>224</v>
      </c>
      <c r="I25" s="175" t="s">
        <v>224</v>
      </c>
      <c r="J25" s="175" t="s">
        <v>224</v>
      </c>
      <c r="K25" s="175" t="s">
        <v>224</v>
      </c>
    </row>
    <row r="26" spans="1:14" x14ac:dyDescent="0.25">
      <c r="A26" s="170" t="s">
        <v>362</v>
      </c>
      <c r="B26" s="170" t="s">
        <v>145</v>
      </c>
      <c r="C26" s="464" t="s">
        <v>209</v>
      </c>
      <c r="D26" s="115">
        <v>1152</v>
      </c>
      <c r="E26" s="175" t="s">
        <v>224</v>
      </c>
      <c r="F26" s="175" t="s">
        <v>227</v>
      </c>
      <c r="G26" s="175" t="s">
        <v>224</v>
      </c>
      <c r="H26" s="175" t="s">
        <v>224</v>
      </c>
      <c r="I26" s="175" t="s">
        <v>224</v>
      </c>
      <c r="J26" s="175" t="s">
        <v>224</v>
      </c>
      <c r="K26" s="175" t="s">
        <v>224</v>
      </c>
    </row>
    <row r="27" spans="1:14" x14ac:dyDescent="0.25">
      <c r="A27" s="170" t="s">
        <v>362</v>
      </c>
      <c r="B27" s="170" t="s">
        <v>176</v>
      </c>
      <c r="C27" s="464" t="s">
        <v>209</v>
      </c>
      <c r="D27" s="115">
        <v>147</v>
      </c>
      <c r="E27" s="175" t="s">
        <v>224</v>
      </c>
      <c r="F27" s="175" t="s">
        <v>227</v>
      </c>
      <c r="G27" s="175" t="s">
        <v>224</v>
      </c>
      <c r="H27" s="175" t="s">
        <v>224</v>
      </c>
      <c r="I27" s="175" t="s">
        <v>224</v>
      </c>
      <c r="J27" s="175" t="s">
        <v>224</v>
      </c>
      <c r="K27" s="175" t="s">
        <v>224</v>
      </c>
    </row>
    <row r="28" spans="1:14" x14ac:dyDescent="0.25">
      <c r="A28" s="170" t="s">
        <v>363</v>
      </c>
      <c r="B28" s="170" t="s">
        <v>355</v>
      </c>
      <c r="C28" s="464" t="s">
        <v>209</v>
      </c>
      <c r="D28" s="115">
        <v>422</v>
      </c>
      <c r="E28" s="219" t="s">
        <v>233</v>
      </c>
      <c r="F28" s="175" t="s">
        <v>227</v>
      </c>
      <c r="G28" s="175" t="s">
        <v>224</v>
      </c>
      <c r="H28" s="219" t="s">
        <v>233</v>
      </c>
      <c r="I28" s="219" t="s">
        <v>233</v>
      </c>
      <c r="J28" s="175" t="s">
        <v>224</v>
      </c>
      <c r="K28" s="175" t="s">
        <v>224</v>
      </c>
    </row>
    <row r="29" spans="1:14" x14ac:dyDescent="0.25">
      <c r="A29" s="170" t="s">
        <v>148</v>
      </c>
      <c r="B29" s="170" t="s">
        <v>152</v>
      </c>
      <c r="C29" s="464" t="s">
        <v>209</v>
      </c>
      <c r="D29" s="115">
        <v>1557</v>
      </c>
      <c r="E29" s="175" t="s">
        <v>224</v>
      </c>
      <c r="F29" s="175" t="s">
        <v>227</v>
      </c>
      <c r="G29" s="175" t="s">
        <v>224</v>
      </c>
      <c r="H29" s="175" t="s">
        <v>224</v>
      </c>
      <c r="I29" s="175" t="s">
        <v>224</v>
      </c>
      <c r="J29" s="175" t="s">
        <v>224</v>
      </c>
      <c r="K29" s="175" t="s">
        <v>227</v>
      </c>
    </row>
    <row r="30" spans="1:14" x14ac:dyDescent="0.25">
      <c r="A30" s="170" t="s">
        <v>148</v>
      </c>
      <c r="B30" s="170" t="s">
        <v>170</v>
      </c>
      <c r="C30" s="464" t="s">
        <v>209</v>
      </c>
      <c r="D30" s="115">
        <v>1228</v>
      </c>
      <c r="E30" s="175" t="s">
        <v>224</v>
      </c>
      <c r="F30" s="219" t="s">
        <v>233</v>
      </c>
      <c r="G30" s="175" t="s">
        <v>224</v>
      </c>
      <c r="H30" s="175" t="s">
        <v>224</v>
      </c>
      <c r="I30" s="175" t="s">
        <v>224</v>
      </c>
      <c r="J30" s="219" t="s">
        <v>233</v>
      </c>
      <c r="K30" s="175" t="s">
        <v>224</v>
      </c>
    </row>
    <row r="31" spans="1:14" x14ac:dyDescent="0.25">
      <c r="A31" s="170" t="s">
        <v>148</v>
      </c>
      <c r="B31" s="170" t="s">
        <v>291</v>
      </c>
      <c r="C31" s="464" t="s">
        <v>209</v>
      </c>
      <c r="D31" s="115">
        <v>175</v>
      </c>
      <c r="E31" s="175" t="s">
        <v>224</v>
      </c>
      <c r="F31" s="175" t="s">
        <v>227</v>
      </c>
      <c r="G31" s="175" t="s">
        <v>224</v>
      </c>
      <c r="H31" s="175" t="s">
        <v>224</v>
      </c>
      <c r="I31" s="175" t="s">
        <v>224</v>
      </c>
      <c r="J31" s="175" t="s">
        <v>224</v>
      </c>
      <c r="K31" s="175" t="s">
        <v>224</v>
      </c>
    </row>
    <row r="32" spans="1:14" x14ac:dyDescent="0.25">
      <c r="A32" s="170" t="s">
        <v>178</v>
      </c>
      <c r="B32" s="170" t="s">
        <v>206</v>
      </c>
      <c r="C32" s="464" t="s">
        <v>209</v>
      </c>
      <c r="D32" s="115">
        <v>862</v>
      </c>
      <c r="E32" s="175" t="s">
        <v>224</v>
      </c>
      <c r="F32" s="175" t="s">
        <v>224</v>
      </c>
      <c r="G32" s="175" t="s">
        <v>224</v>
      </c>
      <c r="H32" s="175" t="s">
        <v>224</v>
      </c>
      <c r="I32" s="175" t="s">
        <v>224</v>
      </c>
      <c r="J32" s="175" t="s">
        <v>227</v>
      </c>
      <c r="K32" s="175" t="s">
        <v>227</v>
      </c>
    </row>
    <row r="33" spans="1:11" x14ac:dyDescent="0.25">
      <c r="A33" s="170" t="s">
        <v>364</v>
      </c>
      <c r="B33" s="170" t="s">
        <v>356</v>
      </c>
      <c r="C33" s="464" t="s">
        <v>209</v>
      </c>
      <c r="D33" s="115">
        <v>2017</v>
      </c>
      <c r="E33" s="175" t="s">
        <v>224</v>
      </c>
      <c r="F33" s="175" t="s">
        <v>227</v>
      </c>
      <c r="G33" s="175" t="s">
        <v>224</v>
      </c>
      <c r="H33" s="175" t="s">
        <v>224</v>
      </c>
      <c r="I33" s="175" t="s">
        <v>224</v>
      </c>
      <c r="J33" s="175" t="s">
        <v>227</v>
      </c>
      <c r="K33" s="175" t="s">
        <v>224</v>
      </c>
    </row>
    <row r="34" spans="1:11" x14ac:dyDescent="0.25">
      <c r="A34" s="170" t="s">
        <v>364</v>
      </c>
      <c r="B34" s="170" t="s">
        <v>237</v>
      </c>
      <c r="C34" s="464" t="s">
        <v>209</v>
      </c>
      <c r="D34" s="115">
        <v>235</v>
      </c>
      <c r="E34" s="752" t="s">
        <v>233</v>
      </c>
      <c r="F34" s="752" t="s">
        <v>233</v>
      </c>
      <c r="G34" s="752" t="s">
        <v>233</v>
      </c>
      <c r="H34" s="752" t="s">
        <v>233</v>
      </c>
      <c r="I34" s="752" t="s">
        <v>233</v>
      </c>
      <c r="J34" s="752" t="s">
        <v>233</v>
      </c>
      <c r="K34" s="752" t="s">
        <v>233</v>
      </c>
    </row>
    <row r="35" spans="1:11" x14ac:dyDescent="0.25">
      <c r="A35" s="170" t="s">
        <v>149</v>
      </c>
      <c r="B35" s="170" t="s">
        <v>238</v>
      </c>
      <c r="C35" s="464" t="s">
        <v>209</v>
      </c>
      <c r="D35" s="115">
        <v>612</v>
      </c>
      <c r="E35" s="175" t="s">
        <v>224</v>
      </c>
      <c r="F35" s="175" t="s">
        <v>227</v>
      </c>
      <c r="G35" s="175" t="s">
        <v>224</v>
      </c>
      <c r="H35" s="175" t="s">
        <v>224</v>
      </c>
      <c r="I35" s="175" t="s">
        <v>224</v>
      </c>
      <c r="J35" s="175" t="s">
        <v>224</v>
      </c>
      <c r="K35" s="175" t="s">
        <v>227</v>
      </c>
    </row>
    <row r="36" spans="1:11" x14ac:dyDescent="0.25">
      <c r="A36" s="170" t="s">
        <v>181</v>
      </c>
      <c r="B36" s="170" t="s">
        <v>208</v>
      </c>
      <c r="C36" s="464" t="s">
        <v>209</v>
      </c>
      <c r="D36" s="115">
        <v>274</v>
      </c>
      <c r="E36" s="175" t="s">
        <v>227</v>
      </c>
      <c r="F36" s="175" t="s">
        <v>224</v>
      </c>
      <c r="G36" s="175" t="s">
        <v>224</v>
      </c>
      <c r="H36" s="219" t="s">
        <v>233</v>
      </c>
      <c r="I36" s="219" t="s">
        <v>233</v>
      </c>
      <c r="J36" s="175" t="s">
        <v>224</v>
      </c>
      <c r="K36" s="175" t="s">
        <v>227</v>
      </c>
    </row>
    <row r="37" spans="1:11" x14ac:dyDescent="0.25">
      <c r="A37" s="170" t="s">
        <v>143</v>
      </c>
      <c r="B37" s="170" t="s">
        <v>142</v>
      </c>
      <c r="C37" s="464" t="s">
        <v>209</v>
      </c>
      <c r="D37" s="115">
        <v>151</v>
      </c>
      <c r="E37" s="219" t="s">
        <v>233</v>
      </c>
      <c r="F37" s="219" t="s">
        <v>233</v>
      </c>
      <c r="G37" s="175" t="s">
        <v>224</v>
      </c>
      <c r="H37" s="175" t="s">
        <v>227</v>
      </c>
      <c r="I37" s="219" t="s">
        <v>233</v>
      </c>
      <c r="J37" s="175" t="s">
        <v>224</v>
      </c>
      <c r="K37" s="175" t="s">
        <v>224</v>
      </c>
    </row>
    <row r="38" spans="1:11" x14ac:dyDescent="0.25">
      <c r="A38" s="170" t="s">
        <v>365</v>
      </c>
      <c r="B38" s="170" t="s">
        <v>158</v>
      </c>
      <c r="C38" s="464" t="s">
        <v>209</v>
      </c>
      <c r="D38" s="115">
        <v>794</v>
      </c>
      <c r="E38" s="175" t="s">
        <v>224</v>
      </c>
      <c r="F38" s="175" t="s">
        <v>224</v>
      </c>
      <c r="G38" s="175" t="s">
        <v>224</v>
      </c>
      <c r="H38" s="175" t="s">
        <v>224</v>
      </c>
      <c r="I38" s="175" t="s">
        <v>224</v>
      </c>
      <c r="J38" s="175" t="s">
        <v>224</v>
      </c>
      <c r="K38" s="175" t="s">
        <v>224</v>
      </c>
    </row>
    <row r="39" spans="1:11" x14ac:dyDescent="0.25">
      <c r="A39" s="170" t="s">
        <v>365</v>
      </c>
      <c r="B39" s="170" t="s">
        <v>357</v>
      </c>
      <c r="C39" s="464" t="s">
        <v>209</v>
      </c>
      <c r="D39" s="115">
        <v>46</v>
      </c>
      <c r="E39" s="468" t="s">
        <v>224</v>
      </c>
      <c r="F39" s="175" t="s">
        <v>227</v>
      </c>
      <c r="G39" s="475" t="s">
        <v>233</v>
      </c>
      <c r="H39" s="475" t="s">
        <v>233</v>
      </c>
      <c r="I39" s="475" t="s">
        <v>233</v>
      </c>
      <c r="J39" s="475" t="s">
        <v>233</v>
      </c>
      <c r="K39" s="175" t="s">
        <v>224</v>
      </c>
    </row>
    <row r="40" spans="1:11" x14ac:dyDescent="0.25">
      <c r="A40" s="170" t="s">
        <v>153</v>
      </c>
      <c r="B40" s="170" t="s">
        <v>235</v>
      </c>
      <c r="C40" s="464" t="s">
        <v>209</v>
      </c>
      <c r="D40" s="115">
        <v>774</v>
      </c>
      <c r="E40" s="175" t="s">
        <v>224</v>
      </c>
      <c r="F40" s="175" t="s">
        <v>224</v>
      </c>
      <c r="G40" s="175" t="s">
        <v>224</v>
      </c>
      <c r="H40" s="175" t="s">
        <v>224</v>
      </c>
      <c r="I40" s="175" t="s">
        <v>224</v>
      </c>
      <c r="J40" s="175" t="s">
        <v>224</v>
      </c>
      <c r="K40" s="219" t="s">
        <v>233</v>
      </c>
    </row>
    <row r="41" spans="1:11" x14ac:dyDescent="0.25">
      <c r="A41" s="170" t="s">
        <v>198</v>
      </c>
      <c r="B41" s="170" t="s">
        <v>358</v>
      </c>
      <c r="C41" s="464" t="s">
        <v>209</v>
      </c>
      <c r="D41" s="115">
        <v>230</v>
      </c>
      <c r="E41" s="175" t="s">
        <v>224</v>
      </c>
      <c r="F41" s="175" t="s">
        <v>227</v>
      </c>
      <c r="G41" s="175" t="s">
        <v>224</v>
      </c>
      <c r="H41" s="175" t="s">
        <v>224</v>
      </c>
      <c r="I41" s="175" t="s">
        <v>224</v>
      </c>
      <c r="J41" s="175" t="s">
        <v>224</v>
      </c>
      <c r="K41" s="175" t="s">
        <v>224</v>
      </c>
    </row>
    <row r="42" spans="1:11" x14ac:dyDescent="0.25">
      <c r="A42" s="170" t="s">
        <v>174</v>
      </c>
      <c r="B42" s="170" t="s">
        <v>359</v>
      </c>
      <c r="C42" s="726" t="s">
        <v>209</v>
      </c>
      <c r="D42" s="115">
        <v>405</v>
      </c>
      <c r="E42" s="175" t="s">
        <v>224</v>
      </c>
      <c r="F42" s="175" t="s">
        <v>224</v>
      </c>
      <c r="G42" s="175" t="s">
        <v>224</v>
      </c>
      <c r="H42" s="175" t="s">
        <v>224</v>
      </c>
      <c r="I42" s="175" t="s">
        <v>224</v>
      </c>
      <c r="J42" s="175" t="s">
        <v>224</v>
      </c>
      <c r="K42" s="175" t="s">
        <v>224</v>
      </c>
    </row>
    <row r="43" spans="1:11" x14ac:dyDescent="0.25">
      <c r="A43" s="170" t="s">
        <v>366</v>
      </c>
      <c r="B43" s="170" t="s">
        <v>360</v>
      </c>
      <c r="C43" s="726" t="s">
        <v>209</v>
      </c>
      <c r="D43" s="115">
        <v>237</v>
      </c>
      <c r="E43" s="175" t="s">
        <v>224</v>
      </c>
      <c r="F43" s="175" t="s">
        <v>224</v>
      </c>
      <c r="G43" s="175" t="s">
        <v>224</v>
      </c>
      <c r="H43" s="175" t="s">
        <v>224</v>
      </c>
      <c r="I43" s="175" t="s">
        <v>224</v>
      </c>
      <c r="J43" s="175" t="s">
        <v>227</v>
      </c>
      <c r="K43" s="175" t="s">
        <v>224</v>
      </c>
    </row>
    <row r="44" spans="1:11" s="136" customFormat="1" ht="12.75" x14ac:dyDescent="0.2">
      <c r="A44" s="179"/>
      <c r="B44" s="180"/>
      <c r="C44" s="205" t="s">
        <v>7</v>
      </c>
      <c r="D44" s="182">
        <f>SUM(D23:D43)</f>
        <v>12783</v>
      </c>
      <c r="E44" s="185">
        <v>16</v>
      </c>
      <c r="F44" s="185">
        <v>7</v>
      </c>
      <c r="G44" s="185">
        <v>19</v>
      </c>
      <c r="H44" s="185">
        <v>15</v>
      </c>
      <c r="I44" s="185">
        <v>16</v>
      </c>
      <c r="J44" s="185">
        <v>15</v>
      </c>
      <c r="K44" s="185">
        <v>15</v>
      </c>
    </row>
    <row r="45" spans="1:11" s="136" customFormat="1" ht="12.75" x14ac:dyDescent="0.2">
      <c r="A45" s="186"/>
      <c r="B45" s="187"/>
      <c r="C45" s="188" t="s">
        <v>8</v>
      </c>
      <c r="D45" s="182">
        <f>AVERAGE(D23:D43)</f>
        <v>608.71428571428567</v>
      </c>
      <c r="E45" s="185" t="s">
        <v>227</v>
      </c>
      <c r="F45" s="185"/>
      <c r="G45" s="185"/>
      <c r="H45" s="185"/>
      <c r="I45" s="185"/>
      <c r="J45" s="185"/>
      <c r="K45" s="185"/>
    </row>
    <row r="46" spans="1:11" s="136" customFormat="1" ht="12.75" x14ac:dyDescent="0.2">
      <c r="A46" s="186"/>
      <c r="B46" s="187"/>
      <c r="C46" s="188" t="s">
        <v>9</v>
      </c>
      <c r="D46" s="182">
        <f>MEDIAN(D23:D43)</f>
        <v>405</v>
      </c>
      <c r="E46" s="185"/>
      <c r="F46" s="185"/>
      <c r="G46" s="185"/>
      <c r="H46" s="185"/>
      <c r="I46" s="185"/>
      <c r="J46" s="185"/>
      <c r="K46" s="185"/>
    </row>
    <row r="47" spans="1:11" s="142" customFormat="1" ht="12.75" x14ac:dyDescent="0.2">
      <c r="A47" s="191"/>
      <c r="B47" s="192"/>
      <c r="C47" s="188" t="s">
        <v>30</v>
      </c>
      <c r="D47" s="193"/>
      <c r="E47" s="195">
        <f t="shared" ref="E47:K47" si="9">+E44/E22</f>
        <v>0.94117647058823528</v>
      </c>
      <c r="F47" s="195">
        <f t="shared" si="9"/>
        <v>0.41176470588235292</v>
      </c>
      <c r="G47" s="195">
        <f t="shared" si="9"/>
        <v>1</v>
      </c>
      <c r="H47" s="195">
        <f t="shared" si="9"/>
        <v>0.88235294117647056</v>
      </c>
      <c r="I47" s="195">
        <f t="shared" si="9"/>
        <v>1</v>
      </c>
      <c r="J47" s="195">
        <f t="shared" si="9"/>
        <v>0.83333333333333337</v>
      </c>
      <c r="K47" s="195">
        <f t="shared" si="9"/>
        <v>0.78947368421052633</v>
      </c>
    </row>
    <row r="48" spans="1:11" x14ac:dyDescent="0.25">
      <c r="B48" s="150"/>
      <c r="C48" s="151"/>
      <c r="D48" s="152"/>
    </row>
    <row r="49" spans="1:11" x14ac:dyDescent="0.25">
      <c r="B49" s="150"/>
      <c r="C49" s="151"/>
      <c r="D49" s="152"/>
    </row>
    <row r="50" spans="1:11" s="161" customFormat="1" ht="12.75" customHeight="1" x14ac:dyDescent="0.25">
      <c r="A50" s="154" t="s">
        <v>668</v>
      </c>
      <c r="B50" s="156"/>
      <c r="C50" s="156"/>
      <c r="D50" s="248"/>
      <c r="E50" s="20" t="s">
        <v>121</v>
      </c>
      <c r="F50" s="293"/>
      <c r="G50" s="20" t="s">
        <v>122</v>
      </c>
      <c r="H50" s="462"/>
      <c r="I50" s="462"/>
      <c r="J50" s="462"/>
      <c r="K50" s="293"/>
    </row>
    <row r="51" spans="1:11" s="74" customFormat="1" ht="38.25" x14ac:dyDescent="0.2">
      <c r="A51" s="196" t="s">
        <v>11</v>
      </c>
      <c r="B51" s="196" t="s">
        <v>12</v>
      </c>
      <c r="C51" s="196" t="s">
        <v>2</v>
      </c>
      <c r="D51" s="722" t="s">
        <v>5</v>
      </c>
      <c r="E51" s="764" t="s">
        <v>114</v>
      </c>
      <c r="F51" s="33" t="s">
        <v>115</v>
      </c>
      <c r="G51" s="33" t="s">
        <v>116</v>
      </c>
      <c r="H51" s="33" t="s">
        <v>117</v>
      </c>
      <c r="I51" s="33" t="s">
        <v>118</v>
      </c>
      <c r="J51" s="33" t="s">
        <v>119</v>
      </c>
      <c r="K51" s="33" t="s">
        <v>120</v>
      </c>
    </row>
    <row r="52" spans="1:11" s="74" customFormat="1" x14ac:dyDescent="0.25">
      <c r="A52" s="167" t="s">
        <v>123</v>
      </c>
      <c r="B52" s="754"/>
      <c r="C52" s="755"/>
      <c r="D52" s="169">
        <v>6</v>
      </c>
      <c r="E52" s="169">
        <v>4</v>
      </c>
      <c r="F52" s="169">
        <v>5</v>
      </c>
      <c r="G52" s="169">
        <v>5</v>
      </c>
      <c r="H52" s="169">
        <v>5</v>
      </c>
      <c r="I52" s="169">
        <v>5</v>
      </c>
      <c r="J52" s="169">
        <v>5</v>
      </c>
      <c r="K52" s="169">
        <v>5</v>
      </c>
    </row>
    <row r="53" spans="1:11" x14ac:dyDescent="0.25">
      <c r="A53" s="170" t="s">
        <v>362</v>
      </c>
      <c r="B53" s="170" t="s">
        <v>306</v>
      </c>
      <c r="C53" s="171" t="s">
        <v>210</v>
      </c>
      <c r="D53" s="115">
        <v>194</v>
      </c>
      <c r="E53" s="276" t="s">
        <v>224</v>
      </c>
      <c r="F53" s="276" t="s">
        <v>224</v>
      </c>
      <c r="G53" s="276" t="s">
        <v>224</v>
      </c>
      <c r="H53" s="276" t="s">
        <v>224</v>
      </c>
      <c r="I53" s="276" t="s">
        <v>224</v>
      </c>
      <c r="J53" s="276" t="s">
        <v>224</v>
      </c>
      <c r="K53" s="494" t="s">
        <v>233</v>
      </c>
    </row>
    <row r="54" spans="1:11" x14ac:dyDescent="0.25">
      <c r="A54" s="170" t="s">
        <v>178</v>
      </c>
      <c r="B54" s="170" t="s">
        <v>413</v>
      </c>
      <c r="C54" s="171" t="s">
        <v>210</v>
      </c>
      <c r="D54" s="115">
        <v>106</v>
      </c>
      <c r="E54" s="276" t="s">
        <v>679</v>
      </c>
      <c r="F54" s="276" t="s">
        <v>679</v>
      </c>
      <c r="G54" s="276" t="s">
        <v>224</v>
      </c>
      <c r="H54" s="276" t="s">
        <v>224</v>
      </c>
      <c r="I54" s="276" t="s">
        <v>224</v>
      </c>
      <c r="J54" s="276" t="s">
        <v>224</v>
      </c>
      <c r="K54" s="276"/>
    </row>
    <row r="55" spans="1:11" x14ac:dyDescent="0.25">
      <c r="A55" s="170" t="s">
        <v>417</v>
      </c>
      <c r="B55" s="170" t="s">
        <v>414</v>
      </c>
      <c r="C55" s="171" t="s">
        <v>210</v>
      </c>
      <c r="D55" s="115">
        <v>182</v>
      </c>
      <c r="E55" s="494" t="s">
        <v>233</v>
      </c>
      <c r="F55" s="494" t="s">
        <v>233</v>
      </c>
      <c r="G55" s="494" t="s">
        <v>233</v>
      </c>
      <c r="H55" s="494" t="s">
        <v>233</v>
      </c>
      <c r="I55" s="494" t="s">
        <v>233</v>
      </c>
      <c r="J55" s="494" t="s">
        <v>233</v>
      </c>
      <c r="K55" s="276" t="s">
        <v>224</v>
      </c>
    </row>
    <row r="56" spans="1:11" x14ac:dyDescent="0.25">
      <c r="A56" s="170" t="s">
        <v>157</v>
      </c>
      <c r="B56" s="170" t="s">
        <v>415</v>
      </c>
      <c r="C56" s="171" t="s">
        <v>210</v>
      </c>
      <c r="D56" s="115">
        <v>83</v>
      </c>
      <c r="E56" s="494" t="s">
        <v>233</v>
      </c>
      <c r="F56" s="276" t="s">
        <v>227</v>
      </c>
      <c r="G56" s="276" t="s">
        <v>224</v>
      </c>
      <c r="H56" s="276" t="s">
        <v>227</v>
      </c>
      <c r="I56" s="276" t="s">
        <v>227</v>
      </c>
      <c r="J56" s="276" t="s">
        <v>227</v>
      </c>
      <c r="K56" s="276" t="s">
        <v>224</v>
      </c>
    </row>
    <row r="57" spans="1:11" x14ac:dyDescent="0.25">
      <c r="A57" s="170" t="s">
        <v>418</v>
      </c>
      <c r="B57" s="170" t="s">
        <v>416</v>
      </c>
      <c r="C57" s="171" t="s">
        <v>211</v>
      </c>
      <c r="D57" s="115">
        <v>212</v>
      </c>
      <c r="E57" s="274" t="s">
        <v>232</v>
      </c>
      <c r="F57" s="274" t="s">
        <v>227</v>
      </c>
      <c r="G57" s="274" t="s">
        <v>224</v>
      </c>
      <c r="H57" s="274" t="s">
        <v>227</v>
      </c>
      <c r="I57" s="274" t="s">
        <v>227</v>
      </c>
      <c r="J57" s="274" t="s">
        <v>227</v>
      </c>
      <c r="K57" s="274"/>
    </row>
    <row r="58" spans="1:11" x14ac:dyDescent="0.25">
      <c r="A58" s="170" t="s">
        <v>179</v>
      </c>
      <c r="B58" s="170" t="s">
        <v>412</v>
      </c>
      <c r="C58" s="171" t="s">
        <v>211</v>
      </c>
      <c r="D58" s="115">
        <v>280</v>
      </c>
      <c r="E58" s="274"/>
      <c r="F58" s="274" t="s">
        <v>227</v>
      </c>
      <c r="G58" s="274" t="s">
        <v>224</v>
      </c>
      <c r="H58" s="274"/>
      <c r="I58" s="274" t="s">
        <v>224</v>
      </c>
      <c r="J58" s="274" t="s">
        <v>227</v>
      </c>
      <c r="K58" s="274"/>
    </row>
    <row r="59" spans="1:11" s="136" customFormat="1" ht="12.75" x14ac:dyDescent="0.2">
      <c r="A59" s="179"/>
      <c r="B59" s="180"/>
      <c r="C59" s="181" t="s">
        <v>7</v>
      </c>
      <c r="D59" s="182">
        <f>SUM(D53:D58)</f>
        <v>1057</v>
      </c>
      <c r="E59" s="185">
        <v>2</v>
      </c>
      <c r="F59" s="185">
        <v>2</v>
      </c>
      <c r="G59" s="185">
        <v>5</v>
      </c>
      <c r="H59" s="185">
        <v>2</v>
      </c>
      <c r="I59" s="185">
        <v>3</v>
      </c>
      <c r="J59" s="185">
        <v>2</v>
      </c>
      <c r="K59" s="185">
        <v>2</v>
      </c>
    </row>
    <row r="60" spans="1:11" s="136" customFormat="1" ht="12.75" x14ac:dyDescent="0.2">
      <c r="A60" s="186"/>
      <c r="B60" s="187"/>
      <c r="C60" s="188" t="s">
        <v>8</v>
      </c>
      <c r="D60" s="182">
        <f>AVERAGE(D53:D58)</f>
        <v>176.16666666666666</v>
      </c>
      <c r="E60" s="185"/>
      <c r="F60" s="185"/>
      <c r="G60" s="185"/>
      <c r="H60" s="185"/>
      <c r="I60" s="185"/>
      <c r="J60" s="185"/>
      <c r="K60" s="185"/>
    </row>
    <row r="61" spans="1:11" s="136" customFormat="1" ht="12.75" x14ac:dyDescent="0.2">
      <c r="A61" s="186"/>
      <c r="B61" s="187"/>
      <c r="C61" s="188" t="s">
        <v>9</v>
      </c>
      <c r="D61" s="182">
        <f>MEDIAN(D53:D58)</f>
        <v>188</v>
      </c>
      <c r="E61" s="185"/>
      <c r="F61" s="185"/>
      <c r="G61" s="185"/>
      <c r="H61" s="185"/>
      <c r="I61" s="185"/>
      <c r="J61" s="185"/>
      <c r="K61" s="185"/>
    </row>
    <row r="62" spans="1:11" s="142" customFormat="1" ht="12.75" x14ac:dyDescent="0.2">
      <c r="A62" s="191"/>
      <c r="B62" s="192"/>
      <c r="C62" s="188" t="s">
        <v>30</v>
      </c>
      <c r="D62" s="193"/>
      <c r="E62" s="195">
        <f t="shared" ref="E62:K62" si="10">+E59/E52</f>
        <v>0.5</v>
      </c>
      <c r="F62" s="195">
        <f t="shared" si="10"/>
        <v>0.4</v>
      </c>
      <c r="G62" s="195">
        <f t="shared" si="10"/>
        <v>1</v>
      </c>
      <c r="H62" s="195">
        <f t="shared" si="10"/>
        <v>0.4</v>
      </c>
      <c r="I62" s="195">
        <f t="shared" si="10"/>
        <v>0.6</v>
      </c>
      <c r="J62" s="195">
        <f t="shared" si="10"/>
        <v>0.4</v>
      </c>
      <c r="K62" s="195">
        <f t="shared" si="10"/>
        <v>0.4</v>
      </c>
    </row>
    <row r="63" spans="1:11" x14ac:dyDescent="0.25">
      <c r="B63" s="150"/>
      <c r="C63" s="151"/>
      <c r="D63" s="152"/>
    </row>
    <row r="64" spans="1:11" x14ac:dyDescent="0.25">
      <c r="B64" s="150"/>
      <c r="C64" s="151"/>
      <c r="D64" s="152"/>
    </row>
    <row r="65" spans="1:11" s="161" customFormat="1" ht="12.75" customHeight="1" x14ac:dyDescent="0.25">
      <c r="A65" s="154" t="s">
        <v>669</v>
      </c>
      <c r="B65" s="156"/>
      <c r="C65" s="156"/>
      <c r="D65" s="248"/>
      <c r="E65" s="20" t="s">
        <v>121</v>
      </c>
      <c r="F65" s="293"/>
      <c r="G65" s="20" t="s">
        <v>122</v>
      </c>
      <c r="H65" s="462"/>
      <c r="I65" s="462"/>
      <c r="J65" s="462"/>
      <c r="K65" s="293"/>
    </row>
    <row r="66" spans="1:11" s="74" customFormat="1" ht="38.25" x14ac:dyDescent="0.2">
      <c r="A66" s="196" t="s">
        <v>11</v>
      </c>
      <c r="B66" s="196" t="s">
        <v>12</v>
      </c>
      <c r="C66" s="196" t="s">
        <v>2</v>
      </c>
      <c r="D66" s="722" t="s">
        <v>5</v>
      </c>
      <c r="E66" s="764" t="s">
        <v>114</v>
      </c>
      <c r="F66" s="33" t="s">
        <v>115</v>
      </c>
      <c r="G66" s="33" t="s">
        <v>116</v>
      </c>
      <c r="H66" s="33" t="s">
        <v>117</v>
      </c>
      <c r="I66" s="33" t="s">
        <v>118</v>
      </c>
      <c r="J66" s="33" t="s">
        <v>119</v>
      </c>
      <c r="K66" s="33" t="s">
        <v>120</v>
      </c>
    </row>
    <row r="67" spans="1:11" s="74" customFormat="1" x14ac:dyDescent="0.25">
      <c r="A67" s="167" t="s">
        <v>123</v>
      </c>
      <c r="B67" s="754"/>
      <c r="C67" s="755"/>
      <c r="D67" s="169">
        <v>4</v>
      </c>
      <c r="E67" s="169">
        <v>3</v>
      </c>
      <c r="F67" s="169">
        <v>2</v>
      </c>
      <c r="G67" s="169">
        <v>3</v>
      </c>
      <c r="H67" s="169">
        <v>3</v>
      </c>
      <c r="I67" s="169">
        <v>2</v>
      </c>
      <c r="J67" s="169">
        <v>3</v>
      </c>
      <c r="K67" s="169">
        <v>3</v>
      </c>
    </row>
    <row r="68" spans="1:11" x14ac:dyDescent="0.25">
      <c r="A68" s="170" t="s">
        <v>180</v>
      </c>
      <c r="B68" s="170" t="s">
        <v>441</v>
      </c>
      <c r="C68" s="199" t="s">
        <v>449</v>
      </c>
      <c r="D68" s="200">
        <v>236</v>
      </c>
      <c r="E68" s="203" t="s">
        <v>224</v>
      </c>
      <c r="F68" s="203"/>
      <c r="G68" s="203" t="s">
        <v>224</v>
      </c>
      <c r="H68" s="203" t="s">
        <v>224</v>
      </c>
      <c r="I68" s="203"/>
      <c r="J68" s="203" t="s">
        <v>224</v>
      </c>
      <c r="K68" s="203" t="s">
        <v>224</v>
      </c>
    </row>
    <row r="69" spans="1:11" x14ac:dyDescent="0.25">
      <c r="A69" s="170" t="s">
        <v>417</v>
      </c>
      <c r="B69" s="170" t="s">
        <v>205</v>
      </c>
      <c r="C69" s="199" t="s">
        <v>212</v>
      </c>
      <c r="D69" s="200">
        <v>168</v>
      </c>
      <c r="E69" s="203" t="s">
        <v>224</v>
      </c>
      <c r="F69" s="203" t="s">
        <v>224</v>
      </c>
      <c r="G69" s="203" t="s">
        <v>224</v>
      </c>
      <c r="H69" s="203" t="s">
        <v>224</v>
      </c>
      <c r="I69" s="203" t="s">
        <v>224</v>
      </c>
      <c r="J69" s="203" t="s">
        <v>224</v>
      </c>
      <c r="K69" s="203" t="s">
        <v>224</v>
      </c>
    </row>
    <row r="70" spans="1:11" x14ac:dyDescent="0.25">
      <c r="A70" s="170" t="s">
        <v>443</v>
      </c>
      <c r="B70" s="170" t="s">
        <v>442</v>
      </c>
      <c r="C70" s="199" t="s">
        <v>212</v>
      </c>
      <c r="D70" s="200">
        <v>89</v>
      </c>
      <c r="E70" s="494" t="s">
        <v>233</v>
      </c>
      <c r="F70" s="494" t="s">
        <v>233</v>
      </c>
      <c r="G70" s="494" t="s">
        <v>233</v>
      </c>
      <c r="H70" s="494" t="s">
        <v>233</v>
      </c>
      <c r="I70" s="494" t="s">
        <v>233</v>
      </c>
      <c r="J70" s="494" t="s">
        <v>233</v>
      </c>
      <c r="K70" s="494" t="s">
        <v>233</v>
      </c>
    </row>
    <row r="71" spans="1:11" x14ac:dyDescent="0.25">
      <c r="A71" s="170" t="s">
        <v>181</v>
      </c>
      <c r="B71" s="170" t="s">
        <v>434</v>
      </c>
      <c r="C71" s="199" t="s">
        <v>212</v>
      </c>
      <c r="D71" s="200">
        <v>36</v>
      </c>
      <c r="E71" s="175" t="s">
        <v>224</v>
      </c>
      <c r="F71" s="219" t="s">
        <v>233</v>
      </c>
      <c r="G71" s="175" t="s">
        <v>224</v>
      </c>
      <c r="H71" s="175" t="s">
        <v>224</v>
      </c>
      <c r="I71" s="219" t="s">
        <v>233</v>
      </c>
      <c r="J71" s="175" t="s">
        <v>224</v>
      </c>
      <c r="K71" s="175" t="s">
        <v>224</v>
      </c>
    </row>
    <row r="72" spans="1:11" s="136" customFormat="1" ht="12.75" x14ac:dyDescent="0.2">
      <c r="A72" s="179"/>
      <c r="B72" s="180"/>
      <c r="C72" s="205" t="s">
        <v>7</v>
      </c>
      <c r="D72" s="182">
        <f>SUM(D68:D71)</f>
        <v>529</v>
      </c>
      <c r="E72" s="185">
        <v>3</v>
      </c>
      <c r="F72" s="185">
        <v>1</v>
      </c>
      <c r="G72" s="185">
        <v>3</v>
      </c>
      <c r="H72" s="185">
        <v>3</v>
      </c>
      <c r="I72" s="185">
        <v>1</v>
      </c>
      <c r="J72" s="185">
        <v>3</v>
      </c>
      <c r="K72" s="185">
        <v>3</v>
      </c>
    </row>
    <row r="73" spans="1:11" s="136" customFormat="1" ht="12.75" x14ac:dyDescent="0.2">
      <c r="A73" s="186"/>
      <c r="B73" s="187"/>
      <c r="C73" s="188" t="s">
        <v>8</v>
      </c>
      <c r="D73" s="182">
        <f>AVERAGE(D68:D71)</f>
        <v>132.25</v>
      </c>
      <c r="E73" s="185"/>
      <c r="F73" s="185"/>
      <c r="G73" s="185"/>
      <c r="H73" s="185"/>
      <c r="I73" s="185"/>
      <c r="J73" s="185"/>
      <c r="K73" s="185"/>
    </row>
    <row r="74" spans="1:11" s="136" customFormat="1" ht="12.75" x14ac:dyDescent="0.2">
      <c r="A74" s="186"/>
      <c r="B74" s="187"/>
      <c r="C74" s="188" t="s">
        <v>9</v>
      </c>
      <c r="D74" s="182">
        <f>MEDIAN(D68:D71)</f>
        <v>128.5</v>
      </c>
      <c r="E74" s="185"/>
      <c r="F74" s="185"/>
      <c r="G74" s="185"/>
      <c r="H74" s="185"/>
      <c r="I74" s="185"/>
      <c r="J74" s="185"/>
      <c r="K74" s="185"/>
    </row>
    <row r="75" spans="1:11" s="142" customFormat="1" ht="12.75" x14ac:dyDescent="0.2">
      <c r="A75" s="191"/>
      <c r="B75" s="192"/>
      <c r="C75" s="188" t="s">
        <v>30</v>
      </c>
      <c r="D75" s="193"/>
      <c r="E75" s="195">
        <f t="shared" ref="E75:K75" si="11">+E72/E67</f>
        <v>1</v>
      </c>
      <c r="F75" s="195">
        <f t="shared" si="11"/>
        <v>0.5</v>
      </c>
      <c r="G75" s="195">
        <f t="shared" si="11"/>
        <v>1</v>
      </c>
      <c r="H75" s="195">
        <f t="shared" si="11"/>
        <v>1</v>
      </c>
      <c r="I75" s="195">
        <f t="shared" si="11"/>
        <v>0.5</v>
      </c>
      <c r="J75" s="195">
        <f t="shared" si="11"/>
        <v>1</v>
      </c>
      <c r="K75" s="195">
        <f t="shared" si="11"/>
        <v>1</v>
      </c>
    </row>
    <row r="76" spans="1:11" x14ac:dyDescent="0.25">
      <c r="B76" s="150"/>
      <c r="C76" s="151"/>
      <c r="D76" s="152"/>
    </row>
    <row r="77" spans="1:11" x14ac:dyDescent="0.25">
      <c r="B77" s="150"/>
      <c r="C77" s="151"/>
      <c r="D77" s="152"/>
    </row>
    <row r="78" spans="1:11" s="161" customFormat="1" ht="12.75" customHeight="1" x14ac:dyDescent="0.25">
      <c r="A78" s="154" t="s">
        <v>673</v>
      </c>
      <c r="B78" s="156"/>
      <c r="C78" s="156"/>
      <c r="D78" s="248"/>
      <c r="E78" s="20" t="s">
        <v>121</v>
      </c>
      <c r="F78" s="293"/>
      <c r="G78" s="20" t="s">
        <v>122</v>
      </c>
      <c r="H78" s="462"/>
      <c r="I78" s="462"/>
      <c r="J78" s="462"/>
      <c r="K78" s="293"/>
    </row>
    <row r="79" spans="1:11" s="74" customFormat="1" ht="38.25" x14ac:dyDescent="0.2">
      <c r="A79" s="196" t="s">
        <v>11</v>
      </c>
      <c r="B79" s="196" t="s">
        <v>12</v>
      </c>
      <c r="C79" s="196" t="s">
        <v>2</v>
      </c>
      <c r="D79" s="722" t="s">
        <v>5</v>
      </c>
      <c r="E79" s="764" t="s">
        <v>114</v>
      </c>
      <c r="F79" s="33" t="s">
        <v>115</v>
      </c>
      <c r="G79" s="33" t="s">
        <v>116</v>
      </c>
      <c r="H79" s="33" t="s">
        <v>117</v>
      </c>
      <c r="I79" s="33" t="s">
        <v>118</v>
      </c>
      <c r="J79" s="33" t="s">
        <v>119</v>
      </c>
      <c r="K79" s="33" t="s">
        <v>120</v>
      </c>
    </row>
    <row r="80" spans="1:11" s="74" customFormat="1" x14ac:dyDescent="0.25">
      <c r="A80" s="167" t="s">
        <v>123</v>
      </c>
      <c r="B80" s="754"/>
      <c r="C80" s="755"/>
      <c r="D80" s="169">
        <v>14</v>
      </c>
      <c r="E80" s="169">
        <v>13</v>
      </c>
      <c r="F80" s="169">
        <v>12</v>
      </c>
      <c r="G80" s="169">
        <v>13</v>
      </c>
      <c r="H80" s="169">
        <v>13</v>
      </c>
      <c r="I80" s="169">
        <v>13</v>
      </c>
      <c r="J80" s="169">
        <v>12</v>
      </c>
      <c r="K80" s="169">
        <v>12</v>
      </c>
    </row>
    <row r="81" spans="1:11" x14ac:dyDescent="0.25">
      <c r="A81" s="170" t="s">
        <v>361</v>
      </c>
      <c r="B81" s="170" t="s">
        <v>503</v>
      </c>
      <c r="C81" s="206" t="s">
        <v>213</v>
      </c>
      <c r="D81" s="200">
        <v>719</v>
      </c>
      <c r="E81" s="175" t="s">
        <v>224</v>
      </c>
      <c r="F81" s="175" t="s">
        <v>227</v>
      </c>
      <c r="G81" s="175" t="s">
        <v>224</v>
      </c>
      <c r="H81" s="175" t="s">
        <v>224</v>
      </c>
      <c r="I81" s="175" t="s">
        <v>224</v>
      </c>
      <c r="J81" s="175" t="s">
        <v>224</v>
      </c>
      <c r="K81" s="175" t="s">
        <v>224</v>
      </c>
    </row>
    <row r="82" spans="1:11" x14ac:dyDescent="0.25">
      <c r="A82" s="170" t="s">
        <v>163</v>
      </c>
      <c r="B82" s="170" t="s">
        <v>164</v>
      </c>
      <c r="C82" s="206" t="s">
        <v>213</v>
      </c>
      <c r="D82" s="200">
        <v>173</v>
      </c>
      <c r="E82" s="175" t="s">
        <v>224</v>
      </c>
      <c r="F82" s="175" t="s">
        <v>224</v>
      </c>
      <c r="G82" s="175" t="s">
        <v>224</v>
      </c>
      <c r="H82" s="175" t="s">
        <v>224</v>
      </c>
      <c r="I82" s="175" t="s">
        <v>224</v>
      </c>
      <c r="J82" s="175" t="s">
        <v>224</v>
      </c>
      <c r="K82" s="175" t="s">
        <v>224</v>
      </c>
    </row>
    <row r="83" spans="1:11" x14ac:dyDescent="0.25">
      <c r="A83" s="170" t="s">
        <v>148</v>
      </c>
      <c r="B83" s="170" t="s">
        <v>504</v>
      </c>
      <c r="C83" s="206" t="s">
        <v>214</v>
      </c>
      <c r="D83" s="200">
        <v>890</v>
      </c>
      <c r="E83" s="175" t="s">
        <v>224</v>
      </c>
      <c r="F83" s="175" t="s">
        <v>227</v>
      </c>
      <c r="G83" s="175" t="s">
        <v>224</v>
      </c>
      <c r="H83" s="175" t="s">
        <v>224</v>
      </c>
      <c r="I83" s="175" t="s">
        <v>224</v>
      </c>
      <c r="J83" s="175" t="s">
        <v>224</v>
      </c>
      <c r="K83" s="175" t="s">
        <v>224</v>
      </c>
    </row>
    <row r="84" spans="1:11" x14ac:dyDescent="0.25">
      <c r="A84" s="170" t="s">
        <v>148</v>
      </c>
      <c r="B84" s="170" t="s">
        <v>505</v>
      </c>
      <c r="C84" s="206" t="s">
        <v>214</v>
      </c>
      <c r="D84" s="200">
        <v>717</v>
      </c>
      <c r="E84" s="175" t="s">
        <v>224</v>
      </c>
      <c r="F84" s="175" t="s">
        <v>224</v>
      </c>
      <c r="G84" s="175" t="s">
        <v>224</v>
      </c>
      <c r="H84" s="175" t="s">
        <v>224</v>
      </c>
      <c r="I84" s="175" t="s">
        <v>224</v>
      </c>
      <c r="J84" s="175" t="s">
        <v>224</v>
      </c>
      <c r="K84" s="175" t="s">
        <v>224</v>
      </c>
    </row>
    <row r="85" spans="1:11" x14ac:dyDescent="0.25">
      <c r="A85" s="170" t="s">
        <v>178</v>
      </c>
      <c r="B85" s="170" t="s">
        <v>243</v>
      </c>
      <c r="C85" s="206" t="s">
        <v>214</v>
      </c>
      <c r="D85" s="200">
        <v>470</v>
      </c>
      <c r="E85" s="175" t="s">
        <v>224</v>
      </c>
      <c r="F85" s="175" t="s">
        <v>224</v>
      </c>
      <c r="G85" s="175" t="s">
        <v>224</v>
      </c>
      <c r="H85" s="175" t="s">
        <v>224</v>
      </c>
      <c r="I85" s="175" t="s">
        <v>224</v>
      </c>
      <c r="J85" s="175" t="s">
        <v>224</v>
      </c>
      <c r="K85" s="175" t="s">
        <v>227</v>
      </c>
    </row>
    <row r="86" spans="1:11" x14ac:dyDescent="0.25">
      <c r="A86" s="170" t="s">
        <v>364</v>
      </c>
      <c r="B86" s="170" t="s">
        <v>450</v>
      </c>
      <c r="C86" s="206" t="s">
        <v>213</v>
      </c>
      <c r="D86" s="200">
        <v>447</v>
      </c>
      <c r="E86" s="175" t="s">
        <v>224</v>
      </c>
      <c r="F86" s="219" t="s">
        <v>233</v>
      </c>
      <c r="G86" s="175" t="s">
        <v>224</v>
      </c>
      <c r="H86" s="175" t="s">
        <v>224</v>
      </c>
      <c r="I86" s="175" t="s">
        <v>224</v>
      </c>
      <c r="J86" s="175" t="s">
        <v>224</v>
      </c>
      <c r="K86" s="175" t="s">
        <v>224</v>
      </c>
    </row>
    <row r="87" spans="1:11" x14ac:dyDescent="0.25">
      <c r="A87" s="170" t="s">
        <v>364</v>
      </c>
      <c r="B87" s="170" t="s">
        <v>506</v>
      </c>
      <c r="C87" s="206" t="s">
        <v>213</v>
      </c>
      <c r="D87" s="200">
        <v>792</v>
      </c>
      <c r="E87" s="175" t="s">
        <v>227</v>
      </c>
      <c r="F87" s="175" t="s">
        <v>227</v>
      </c>
      <c r="G87" s="175" t="s">
        <v>224</v>
      </c>
      <c r="H87" s="175" t="s">
        <v>224</v>
      </c>
      <c r="I87" s="175" t="s">
        <v>224</v>
      </c>
      <c r="J87" s="219" t="s">
        <v>233</v>
      </c>
      <c r="K87" s="175" t="s">
        <v>224</v>
      </c>
    </row>
    <row r="88" spans="1:11" x14ac:dyDescent="0.25">
      <c r="A88" s="170" t="s">
        <v>364</v>
      </c>
      <c r="B88" s="170" t="s">
        <v>507</v>
      </c>
      <c r="C88" s="206" t="s">
        <v>213</v>
      </c>
      <c r="D88" s="200">
        <v>767</v>
      </c>
      <c r="E88" s="175" t="s">
        <v>224</v>
      </c>
      <c r="F88" s="175" t="s">
        <v>227</v>
      </c>
      <c r="G88" s="175" t="s">
        <v>224</v>
      </c>
      <c r="H88" s="175" t="s">
        <v>224</v>
      </c>
      <c r="I88" s="175" t="s">
        <v>224</v>
      </c>
      <c r="J88" s="175" t="s">
        <v>224</v>
      </c>
      <c r="K88" s="175" t="s">
        <v>224</v>
      </c>
    </row>
    <row r="89" spans="1:11" x14ac:dyDescent="0.25">
      <c r="A89" s="170" t="s">
        <v>149</v>
      </c>
      <c r="B89" s="170" t="s">
        <v>312</v>
      </c>
      <c r="C89" s="206" t="s">
        <v>213</v>
      </c>
      <c r="D89" s="200">
        <v>466</v>
      </c>
      <c r="E89" s="175" t="s">
        <v>224</v>
      </c>
      <c r="F89" s="175" t="s">
        <v>227</v>
      </c>
      <c r="G89" s="175" t="s">
        <v>224</v>
      </c>
      <c r="H89" s="175" t="s">
        <v>224</v>
      </c>
      <c r="I89" s="175" t="s">
        <v>224</v>
      </c>
      <c r="J89" s="175" t="s">
        <v>224</v>
      </c>
      <c r="K89" s="175" t="s">
        <v>227</v>
      </c>
    </row>
    <row r="90" spans="1:11" x14ac:dyDescent="0.25">
      <c r="A90" s="170" t="s">
        <v>183</v>
      </c>
      <c r="B90" s="170" t="s">
        <v>244</v>
      </c>
      <c r="C90" s="206" t="s">
        <v>213</v>
      </c>
      <c r="D90" s="200">
        <v>869</v>
      </c>
      <c r="E90" s="219" t="s">
        <v>233</v>
      </c>
      <c r="F90" s="219" t="s">
        <v>233</v>
      </c>
      <c r="G90" s="219" t="s">
        <v>233</v>
      </c>
      <c r="H90" s="219" t="s">
        <v>233</v>
      </c>
      <c r="I90" s="219" t="s">
        <v>233</v>
      </c>
      <c r="J90" s="219" t="s">
        <v>233</v>
      </c>
      <c r="K90" s="219" t="s">
        <v>233</v>
      </c>
    </row>
    <row r="91" spans="1:11" x14ac:dyDescent="0.25">
      <c r="A91" s="170" t="s">
        <v>143</v>
      </c>
      <c r="B91" s="170" t="s">
        <v>508</v>
      </c>
      <c r="C91" s="206" t="s">
        <v>213</v>
      </c>
      <c r="D91" s="200">
        <v>105</v>
      </c>
      <c r="E91" s="175" t="s">
        <v>224</v>
      </c>
      <c r="F91" s="175" t="s">
        <v>224</v>
      </c>
      <c r="G91" s="175" t="s">
        <v>224</v>
      </c>
      <c r="H91" s="175" t="s">
        <v>224</v>
      </c>
      <c r="I91" s="175" t="s">
        <v>224</v>
      </c>
      <c r="J91" s="175" t="s">
        <v>224</v>
      </c>
      <c r="K91" s="175" t="s">
        <v>224</v>
      </c>
    </row>
    <row r="92" spans="1:11" x14ac:dyDescent="0.25">
      <c r="A92" s="170" t="s">
        <v>257</v>
      </c>
      <c r="B92" s="170" t="s">
        <v>509</v>
      </c>
      <c r="C92" s="206" t="s">
        <v>214</v>
      </c>
      <c r="D92" s="200">
        <v>799</v>
      </c>
      <c r="E92" s="175" t="s">
        <v>227</v>
      </c>
      <c r="F92" s="175" t="s">
        <v>227</v>
      </c>
      <c r="G92" s="175" t="s">
        <v>227</v>
      </c>
      <c r="H92" s="175" t="s">
        <v>224</v>
      </c>
      <c r="I92" s="175" t="s">
        <v>227</v>
      </c>
      <c r="J92" s="175" t="s">
        <v>227</v>
      </c>
      <c r="K92" s="175" t="s">
        <v>227</v>
      </c>
    </row>
    <row r="93" spans="1:11" x14ac:dyDescent="0.25">
      <c r="A93" s="170" t="s">
        <v>365</v>
      </c>
      <c r="B93" s="170" t="s">
        <v>313</v>
      </c>
      <c r="C93" s="206" t="s">
        <v>213</v>
      </c>
      <c r="D93" s="200">
        <v>698</v>
      </c>
      <c r="E93" s="175" t="s">
        <v>224</v>
      </c>
      <c r="F93" s="175" t="s">
        <v>227</v>
      </c>
      <c r="G93" s="175" t="s">
        <v>224</v>
      </c>
      <c r="H93" s="175" t="s">
        <v>224</v>
      </c>
      <c r="I93" s="175" t="s">
        <v>224</v>
      </c>
      <c r="J93" s="175" t="s">
        <v>224</v>
      </c>
      <c r="K93" s="219" t="s">
        <v>233</v>
      </c>
    </row>
    <row r="94" spans="1:11" x14ac:dyDescent="0.25">
      <c r="A94" s="170" t="s">
        <v>174</v>
      </c>
      <c r="B94" s="170" t="s">
        <v>177</v>
      </c>
      <c r="C94" s="206" t="s">
        <v>213</v>
      </c>
      <c r="D94" s="200">
        <v>245</v>
      </c>
      <c r="E94" s="175" t="s">
        <v>224</v>
      </c>
      <c r="F94" s="175" t="s">
        <v>224</v>
      </c>
      <c r="G94" s="175" t="s">
        <v>224</v>
      </c>
      <c r="H94" s="175" t="s">
        <v>224</v>
      </c>
      <c r="I94" s="175" t="s">
        <v>224</v>
      </c>
      <c r="J94" s="175" t="s">
        <v>224</v>
      </c>
      <c r="K94" s="175" t="s">
        <v>224</v>
      </c>
    </row>
    <row r="95" spans="1:11" s="136" customFormat="1" ht="12.75" x14ac:dyDescent="0.2">
      <c r="A95" s="179"/>
      <c r="B95" s="180"/>
      <c r="C95" s="181" t="s">
        <v>7</v>
      </c>
      <c r="D95" s="182">
        <f>SUM(D81:D94)</f>
        <v>8157</v>
      </c>
      <c r="E95" s="185">
        <v>11</v>
      </c>
      <c r="F95" s="185">
        <v>5</v>
      </c>
      <c r="G95" s="185">
        <v>12</v>
      </c>
      <c r="H95" s="185">
        <v>13</v>
      </c>
      <c r="I95" s="185">
        <v>13</v>
      </c>
      <c r="J95" s="185">
        <v>11</v>
      </c>
      <c r="K95" s="185">
        <v>9</v>
      </c>
    </row>
    <row r="96" spans="1:11" s="136" customFormat="1" ht="12.75" x14ac:dyDescent="0.2">
      <c r="A96" s="186"/>
      <c r="B96" s="187"/>
      <c r="C96" s="188" t="s">
        <v>8</v>
      </c>
      <c r="D96" s="182">
        <f>AVERAGE(D81:D94)</f>
        <v>582.64285714285711</v>
      </c>
      <c r="E96" s="185"/>
      <c r="F96" s="185"/>
      <c r="G96" s="185"/>
      <c r="H96" s="185"/>
      <c r="I96" s="185"/>
      <c r="J96" s="185"/>
      <c r="K96" s="185"/>
    </row>
    <row r="97" spans="1:11" s="136" customFormat="1" ht="12.75" x14ac:dyDescent="0.2">
      <c r="A97" s="186"/>
      <c r="B97" s="187"/>
      <c r="C97" s="188" t="s">
        <v>9</v>
      </c>
      <c r="D97" s="182">
        <f>MEDIAN(D81:D94)</f>
        <v>707.5</v>
      </c>
      <c r="E97" s="185"/>
      <c r="F97" s="185"/>
      <c r="G97" s="185"/>
      <c r="H97" s="185"/>
      <c r="I97" s="185"/>
      <c r="J97" s="185"/>
      <c r="K97" s="185"/>
    </row>
    <row r="98" spans="1:11" s="142" customFormat="1" ht="12.75" x14ac:dyDescent="0.2">
      <c r="A98" s="191"/>
      <c r="B98" s="192"/>
      <c r="C98" s="188" t="s">
        <v>30</v>
      </c>
      <c r="D98" s="193"/>
      <c r="E98" s="195">
        <f t="shared" ref="E98:K98" si="12">+E95/E80</f>
        <v>0.84615384615384615</v>
      </c>
      <c r="F98" s="195">
        <f t="shared" si="12"/>
        <v>0.41666666666666669</v>
      </c>
      <c r="G98" s="195">
        <f t="shared" si="12"/>
        <v>0.92307692307692313</v>
      </c>
      <c r="H98" s="195">
        <f t="shared" si="12"/>
        <v>1</v>
      </c>
      <c r="I98" s="195">
        <f t="shared" si="12"/>
        <v>1</v>
      </c>
      <c r="J98" s="195">
        <f t="shared" si="12"/>
        <v>0.91666666666666663</v>
      </c>
      <c r="K98" s="195">
        <f t="shared" si="12"/>
        <v>0.75</v>
      </c>
    </row>
    <row r="99" spans="1:11" x14ac:dyDescent="0.25">
      <c r="B99" s="150"/>
      <c r="C99" s="151"/>
      <c r="D99" s="152"/>
    </row>
    <row r="100" spans="1:11" x14ac:dyDescent="0.25">
      <c r="B100" s="150"/>
      <c r="C100" s="151"/>
      <c r="D100" s="152"/>
    </row>
    <row r="101" spans="1:11" s="161" customFormat="1" ht="12.75" customHeight="1" x14ac:dyDescent="0.25">
      <c r="A101" s="154" t="s">
        <v>671</v>
      </c>
      <c r="B101" s="156"/>
      <c r="C101" s="156"/>
      <c r="D101" s="248"/>
      <c r="E101" s="20" t="s">
        <v>121</v>
      </c>
      <c r="F101" s="293"/>
      <c r="G101" s="20" t="s">
        <v>122</v>
      </c>
      <c r="H101" s="462"/>
      <c r="I101" s="462"/>
      <c r="J101" s="462"/>
      <c r="K101" s="293"/>
    </row>
    <row r="102" spans="1:11" s="74" customFormat="1" ht="38.25" x14ac:dyDescent="0.2">
      <c r="A102" s="196" t="s">
        <v>11</v>
      </c>
      <c r="B102" s="196" t="s">
        <v>12</v>
      </c>
      <c r="C102" s="196" t="s">
        <v>2</v>
      </c>
      <c r="D102" s="722" t="s">
        <v>5</v>
      </c>
      <c r="E102" s="764" t="s">
        <v>114</v>
      </c>
      <c r="F102" s="33" t="s">
        <v>115</v>
      </c>
      <c r="G102" s="33" t="s">
        <v>116</v>
      </c>
      <c r="H102" s="33" t="s">
        <v>117</v>
      </c>
      <c r="I102" s="33" t="s">
        <v>118</v>
      </c>
      <c r="J102" s="33" t="s">
        <v>119</v>
      </c>
      <c r="K102" s="33" t="s">
        <v>120</v>
      </c>
    </row>
    <row r="103" spans="1:11" s="74" customFormat="1" x14ac:dyDescent="0.25">
      <c r="A103" s="167" t="s">
        <v>123</v>
      </c>
      <c r="B103" s="754"/>
      <c r="C103" s="755"/>
      <c r="D103" s="169">
        <v>7</v>
      </c>
      <c r="E103" s="169">
        <v>4</v>
      </c>
      <c r="F103" s="169">
        <v>3</v>
      </c>
      <c r="G103" s="169">
        <v>5</v>
      </c>
      <c r="H103" s="169">
        <v>4</v>
      </c>
      <c r="I103" s="169">
        <v>4</v>
      </c>
      <c r="J103" s="169">
        <v>4</v>
      </c>
      <c r="K103" s="169">
        <v>4</v>
      </c>
    </row>
    <row r="104" spans="1:11" x14ac:dyDescent="0.25">
      <c r="A104" s="170" t="s">
        <v>361</v>
      </c>
      <c r="B104" s="170" t="s">
        <v>510</v>
      </c>
      <c r="C104" s="199" t="s">
        <v>215</v>
      </c>
      <c r="D104" s="209">
        <v>239</v>
      </c>
      <c r="E104" s="175" t="s">
        <v>227</v>
      </c>
      <c r="F104" s="175" t="s">
        <v>227</v>
      </c>
      <c r="G104" s="175" t="s">
        <v>224</v>
      </c>
      <c r="H104" s="175" t="s">
        <v>224</v>
      </c>
      <c r="I104" s="175" t="s">
        <v>227</v>
      </c>
      <c r="J104" s="175" t="s">
        <v>224</v>
      </c>
      <c r="K104" s="175" t="s">
        <v>227</v>
      </c>
    </row>
    <row r="105" spans="1:11" x14ac:dyDescent="0.25">
      <c r="A105" s="170" t="s">
        <v>417</v>
      </c>
      <c r="B105" s="170" t="s">
        <v>245</v>
      </c>
      <c r="C105" s="199" t="s">
        <v>215</v>
      </c>
      <c r="D105" s="209">
        <v>469</v>
      </c>
      <c r="E105" s="175" t="s">
        <v>224</v>
      </c>
      <c r="F105" s="175" t="s">
        <v>233</v>
      </c>
      <c r="G105" s="175" t="s">
        <v>224</v>
      </c>
      <c r="H105" s="175" t="s">
        <v>224</v>
      </c>
      <c r="I105" s="175" t="s">
        <v>224</v>
      </c>
      <c r="J105" s="175" t="s">
        <v>224</v>
      </c>
      <c r="K105" s="175" t="s">
        <v>224</v>
      </c>
    </row>
    <row r="106" spans="1:11" x14ac:dyDescent="0.25">
      <c r="A106" s="3" t="s">
        <v>364</v>
      </c>
      <c r="B106" s="3" t="s">
        <v>529</v>
      </c>
      <c r="C106" s="171" t="s">
        <v>215</v>
      </c>
      <c r="D106" s="212">
        <v>178</v>
      </c>
      <c r="E106" s="175" t="s">
        <v>233</v>
      </c>
      <c r="F106" s="175" t="s">
        <v>233</v>
      </c>
      <c r="G106" s="175" t="s">
        <v>233</v>
      </c>
      <c r="H106" s="175" t="s">
        <v>233</v>
      </c>
      <c r="I106" s="175" t="s">
        <v>233</v>
      </c>
      <c r="J106" s="175" t="s">
        <v>233</v>
      </c>
      <c r="K106" s="175" t="s">
        <v>233</v>
      </c>
    </row>
    <row r="107" spans="1:11" x14ac:dyDescent="0.25">
      <c r="A107" s="170" t="s">
        <v>364</v>
      </c>
      <c r="B107" s="170" t="s">
        <v>511</v>
      </c>
      <c r="C107" s="199" t="s">
        <v>215</v>
      </c>
      <c r="D107" s="209">
        <v>176</v>
      </c>
      <c r="E107" s="175" t="s">
        <v>227</v>
      </c>
      <c r="F107" s="175" t="s">
        <v>227</v>
      </c>
      <c r="G107" s="175" t="s">
        <v>227</v>
      </c>
      <c r="H107" s="175" t="s">
        <v>224</v>
      </c>
      <c r="I107" s="175" t="s">
        <v>224</v>
      </c>
      <c r="J107" s="175" t="s">
        <v>224</v>
      </c>
      <c r="K107" s="175" t="s">
        <v>224</v>
      </c>
    </row>
    <row r="108" spans="1:11" x14ac:dyDescent="0.25">
      <c r="A108" s="170" t="s">
        <v>485</v>
      </c>
      <c r="B108" s="170" t="s">
        <v>481</v>
      </c>
      <c r="C108" s="199" t="s">
        <v>215</v>
      </c>
      <c r="D108" s="209">
        <v>619</v>
      </c>
      <c r="E108" s="175" t="s">
        <v>233</v>
      </c>
      <c r="F108" s="175" t="s">
        <v>233</v>
      </c>
      <c r="G108" s="175" t="s">
        <v>224</v>
      </c>
      <c r="H108" s="175" t="s">
        <v>233</v>
      </c>
      <c r="I108" s="175" t="s">
        <v>233</v>
      </c>
      <c r="J108" s="175" t="s">
        <v>233</v>
      </c>
      <c r="K108" s="175" t="s">
        <v>233</v>
      </c>
    </row>
    <row r="109" spans="1:11" x14ac:dyDescent="0.25">
      <c r="A109" s="170" t="s">
        <v>257</v>
      </c>
      <c r="B109" s="170" t="s">
        <v>482</v>
      </c>
      <c r="C109" s="199" t="s">
        <v>215</v>
      </c>
      <c r="D109" s="209">
        <v>26</v>
      </c>
      <c r="E109" s="175" t="s">
        <v>224</v>
      </c>
      <c r="F109" s="175" t="s">
        <v>227</v>
      </c>
      <c r="G109" s="175" t="s">
        <v>224</v>
      </c>
      <c r="H109" s="175" t="s">
        <v>224</v>
      </c>
      <c r="I109" s="175" t="s">
        <v>224</v>
      </c>
      <c r="J109" s="175" t="s">
        <v>224</v>
      </c>
      <c r="K109" s="175" t="s">
        <v>227</v>
      </c>
    </row>
    <row r="110" spans="1:11" x14ac:dyDescent="0.25">
      <c r="A110" s="170" t="s">
        <v>166</v>
      </c>
      <c r="B110" s="170" t="s">
        <v>246</v>
      </c>
      <c r="C110" s="199" t="s">
        <v>215</v>
      </c>
      <c r="D110" s="209">
        <v>519</v>
      </c>
      <c r="E110" s="175" t="s">
        <v>233</v>
      </c>
      <c r="F110" s="175" t="s">
        <v>233</v>
      </c>
      <c r="G110" s="175" t="s">
        <v>233</v>
      </c>
      <c r="H110" s="175" t="s">
        <v>233</v>
      </c>
      <c r="I110" s="175" t="s">
        <v>233</v>
      </c>
      <c r="J110" s="175" t="s">
        <v>233</v>
      </c>
      <c r="K110" s="175" t="s">
        <v>233</v>
      </c>
    </row>
    <row r="111" spans="1:11" s="136" customFormat="1" ht="12.75" x14ac:dyDescent="0.2">
      <c r="A111" s="179"/>
      <c r="B111" s="180"/>
      <c r="C111" s="205" t="s">
        <v>7</v>
      </c>
      <c r="D111" s="182">
        <f>SUM(D104:D110)</f>
        <v>2226</v>
      </c>
      <c r="E111" s="185">
        <v>2</v>
      </c>
      <c r="F111" s="185">
        <v>0</v>
      </c>
      <c r="G111" s="185">
        <v>4</v>
      </c>
      <c r="H111" s="185">
        <v>4</v>
      </c>
      <c r="I111" s="185">
        <v>3</v>
      </c>
      <c r="J111" s="185">
        <v>4</v>
      </c>
      <c r="K111" s="185">
        <v>3</v>
      </c>
    </row>
    <row r="112" spans="1:11" s="136" customFormat="1" ht="12.75" x14ac:dyDescent="0.2">
      <c r="A112" s="186"/>
      <c r="B112" s="187"/>
      <c r="C112" s="188" t="s">
        <v>8</v>
      </c>
      <c r="D112" s="182">
        <f>AVERAGE(D104:D110)</f>
        <v>318</v>
      </c>
      <c r="E112" s="185"/>
      <c r="F112" s="185"/>
      <c r="G112" s="185"/>
      <c r="H112" s="185"/>
      <c r="I112" s="185"/>
      <c r="J112" s="185"/>
      <c r="K112" s="185"/>
    </row>
    <row r="113" spans="1:11" s="136" customFormat="1" ht="12.75" x14ac:dyDescent="0.2">
      <c r="A113" s="186"/>
      <c r="B113" s="187"/>
      <c r="C113" s="188" t="s">
        <v>9</v>
      </c>
      <c r="D113" s="182">
        <f>MEDIAN(D104:D110)</f>
        <v>239</v>
      </c>
      <c r="E113" s="185"/>
      <c r="F113" s="185"/>
      <c r="G113" s="185"/>
      <c r="H113" s="185"/>
      <c r="I113" s="185"/>
      <c r="J113" s="185"/>
      <c r="K113" s="185"/>
    </row>
    <row r="114" spans="1:11" s="142" customFormat="1" ht="12.75" x14ac:dyDescent="0.2">
      <c r="A114" s="191"/>
      <c r="B114" s="192"/>
      <c r="C114" s="188" t="s">
        <v>30</v>
      </c>
      <c r="D114" s="193"/>
      <c r="E114" s="195">
        <f t="shared" ref="E114:K114" si="13">+E111/E103</f>
        <v>0.5</v>
      </c>
      <c r="F114" s="195">
        <f t="shared" si="13"/>
        <v>0</v>
      </c>
      <c r="G114" s="195">
        <f t="shared" si="13"/>
        <v>0.8</v>
      </c>
      <c r="H114" s="195">
        <f t="shared" si="13"/>
        <v>1</v>
      </c>
      <c r="I114" s="195">
        <f t="shared" si="13"/>
        <v>0.75</v>
      </c>
      <c r="J114" s="195">
        <f t="shared" si="13"/>
        <v>1</v>
      </c>
      <c r="K114" s="195">
        <f t="shared" si="13"/>
        <v>0.75</v>
      </c>
    </row>
    <row r="115" spans="1:11" x14ac:dyDescent="0.25">
      <c r="B115" s="150"/>
      <c r="C115" s="151"/>
      <c r="D115" s="152"/>
    </row>
    <row r="116" spans="1:11" x14ac:dyDescent="0.25">
      <c r="B116" s="150"/>
      <c r="C116" s="151"/>
      <c r="D116" s="152"/>
    </row>
    <row r="117" spans="1:11" s="161" customFormat="1" ht="12.75" customHeight="1" x14ac:dyDescent="0.2">
      <c r="A117" s="154" t="s">
        <v>672</v>
      </c>
      <c r="B117" s="156"/>
      <c r="C117" s="156"/>
      <c r="D117" s="248"/>
      <c r="E117" s="20" t="s">
        <v>121</v>
      </c>
      <c r="F117" s="720"/>
      <c r="G117" s="20" t="s">
        <v>122</v>
      </c>
      <c r="H117" s="719"/>
      <c r="I117" s="719"/>
      <c r="J117" s="719"/>
      <c r="K117" s="720"/>
    </row>
    <row r="118" spans="1:11" s="74" customFormat="1" ht="38.25" x14ac:dyDescent="0.2">
      <c r="A118" s="196" t="s">
        <v>11</v>
      </c>
      <c r="B118" s="196" t="s">
        <v>12</v>
      </c>
      <c r="C118" s="196" t="s">
        <v>2</v>
      </c>
      <c r="D118" s="722" t="s">
        <v>5</v>
      </c>
      <c r="E118" s="764" t="s">
        <v>114</v>
      </c>
      <c r="F118" s="33" t="s">
        <v>115</v>
      </c>
      <c r="G118" s="33" t="s">
        <v>116</v>
      </c>
      <c r="H118" s="33" t="s">
        <v>117</v>
      </c>
      <c r="I118" s="33" t="s">
        <v>118</v>
      </c>
      <c r="J118" s="33" t="s">
        <v>119</v>
      </c>
      <c r="K118" s="33" t="s">
        <v>120</v>
      </c>
    </row>
    <row r="119" spans="1:11" s="74" customFormat="1" x14ac:dyDescent="0.25">
      <c r="A119" s="167" t="s">
        <v>123</v>
      </c>
      <c r="B119" s="754"/>
      <c r="C119" s="755"/>
      <c r="D119" s="169">
        <v>62</v>
      </c>
      <c r="E119" s="169">
        <v>55</v>
      </c>
      <c r="F119" s="169">
        <v>52</v>
      </c>
      <c r="G119" s="169">
        <v>55</v>
      </c>
      <c r="H119" s="169">
        <v>51</v>
      </c>
      <c r="I119" s="169">
        <v>52</v>
      </c>
      <c r="J119" s="169">
        <v>50</v>
      </c>
      <c r="K119" s="169">
        <v>53</v>
      </c>
    </row>
    <row r="120" spans="1:11" x14ac:dyDescent="0.25">
      <c r="A120" s="170" t="s">
        <v>361</v>
      </c>
      <c r="B120" s="170" t="s">
        <v>321</v>
      </c>
      <c r="C120" s="199" t="s">
        <v>216</v>
      </c>
      <c r="D120" s="200">
        <v>14</v>
      </c>
      <c r="E120" s="175" t="s">
        <v>224</v>
      </c>
      <c r="F120" s="175" t="s">
        <v>224</v>
      </c>
      <c r="G120" s="175" t="s">
        <v>224</v>
      </c>
      <c r="H120" s="175" t="s">
        <v>224</v>
      </c>
      <c r="I120" s="175" t="s">
        <v>224</v>
      </c>
      <c r="J120" s="175" t="s">
        <v>224</v>
      </c>
      <c r="K120" s="175" t="s">
        <v>224</v>
      </c>
    </row>
    <row r="121" spans="1:11" x14ac:dyDescent="0.25">
      <c r="A121" s="170" t="s">
        <v>361</v>
      </c>
      <c r="B121" s="170" t="s">
        <v>512</v>
      </c>
      <c r="C121" s="199" t="s">
        <v>216</v>
      </c>
      <c r="D121" s="200">
        <v>257</v>
      </c>
      <c r="E121" s="175" t="s">
        <v>224</v>
      </c>
      <c r="F121" s="175" t="s">
        <v>227</v>
      </c>
      <c r="G121" s="175" t="s">
        <v>224</v>
      </c>
      <c r="H121" s="175" t="s">
        <v>224</v>
      </c>
      <c r="I121" s="175" t="s">
        <v>224</v>
      </c>
      <c r="J121" s="175" t="s">
        <v>227</v>
      </c>
      <c r="K121" s="175" t="s">
        <v>227</v>
      </c>
    </row>
    <row r="122" spans="1:11" x14ac:dyDescent="0.25">
      <c r="A122" s="170" t="s">
        <v>361</v>
      </c>
      <c r="B122" s="170" t="s">
        <v>262</v>
      </c>
      <c r="C122" s="199" t="s">
        <v>216</v>
      </c>
      <c r="D122" s="200">
        <v>249</v>
      </c>
      <c r="E122" s="175" t="s">
        <v>224</v>
      </c>
      <c r="F122" s="175" t="s">
        <v>224</v>
      </c>
      <c r="G122" s="175" t="s">
        <v>224</v>
      </c>
      <c r="H122" s="175" t="s">
        <v>224</v>
      </c>
      <c r="I122" s="175" t="s">
        <v>224</v>
      </c>
      <c r="J122" s="175" t="s">
        <v>224</v>
      </c>
      <c r="K122" s="175" t="s">
        <v>224</v>
      </c>
    </row>
    <row r="123" spans="1:11" x14ac:dyDescent="0.25">
      <c r="A123" s="170" t="s">
        <v>180</v>
      </c>
      <c r="B123" s="170" t="s">
        <v>263</v>
      </c>
      <c r="C123" s="199" t="s">
        <v>216</v>
      </c>
      <c r="D123" s="200">
        <v>389</v>
      </c>
      <c r="E123" s="175" t="s">
        <v>227</v>
      </c>
      <c r="F123" s="175" t="s">
        <v>227</v>
      </c>
      <c r="G123" s="175" t="s">
        <v>224</v>
      </c>
      <c r="H123" s="175" t="s">
        <v>227</v>
      </c>
      <c r="I123" s="175" t="s">
        <v>227</v>
      </c>
      <c r="J123" s="175" t="s">
        <v>224</v>
      </c>
      <c r="K123" s="175" t="s">
        <v>227</v>
      </c>
    </row>
    <row r="124" spans="1:11" x14ac:dyDescent="0.25">
      <c r="A124" s="170" t="s">
        <v>163</v>
      </c>
      <c r="B124" s="170" t="s">
        <v>513</v>
      </c>
      <c r="C124" s="199" t="s">
        <v>216</v>
      </c>
      <c r="D124" s="200">
        <v>345</v>
      </c>
      <c r="E124" s="175" t="s">
        <v>224</v>
      </c>
      <c r="F124" s="175" t="s">
        <v>224</v>
      </c>
      <c r="G124" s="175" t="s">
        <v>224</v>
      </c>
      <c r="H124" s="175" t="s">
        <v>224</v>
      </c>
      <c r="I124" s="175" t="s">
        <v>224</v>
      </c>
      <c r="J124" s="175" t="s">
        <v>224</v>
      </c>
      <c r="K124" s="175" t="s">
        <v>224</v>
      </c>
    </row>
    <row r="125" spans="1:11" x14ac:dyDescent="0.25">
      <c r="A125" s="170" t="s">
        <v>362</v>
      </c>
      <c r="B125" s="170" t="s">
        <v>322</v>
      </c>
      <c r="C125" s="199" t="s">
        <v>217</v>
      </c>
      <c r="D125" s="200">
        <v>424</v>
      </c>
      <c r="E125" s="175" t="s">
        <v>224</v>
      </c>
      <c r="F125" s="175" t="s">
        <v>224</v>
      </c>
      <c r="G125" s="175" t="s">
        <v>224</v>
      </c>
      <c r="H125" s="175" t="s">
        <v>224</v>
      </c>
      <c r="I125" s="175" t="s">
        <v>224</v>
      </c>
      <c r="J125" s="175" t="s">
        <v>224</v>
      </c>
      <c r="K125" s="175" t="s">
        <v>224</v>
      </c>
    </row>
    <row r="126" spans="1:11" x14ac:dyDescent="0.25">
      <c r="A126" s="170" t="s">
        <v>362</v>
      </c>
      <c r="B126" s="170" t="s">
        <v>264</v>
      </c>
      <c r="C126" s="199" t="s">
        <v>217</v>
      </c>
      <c r="D126" s="200">
        <v>381</v>
      </c>
      <c r="E126" s="175" t="s">
        <v>224</v>
      </c>
      <c r="F126" s="175" t="s">
        <v>224</v>
      </c>
      <c r="G126" s="175" t="s">
        <v>224</v>
      </c>
      <c r="H126" s="175" t="s">
        <v>224</v>
      </c>
      <c r="I126" s="175" t="s">
        <v>224</v>
      </c>
      <c r="J126" s="175" t="s">
        <v>224</v>
      </c>
      <c r="K126" s="175" t="s">
        <v>224</v>
      </c>
    </row>
    <row r="127" spans="1:11" x14ac:dyDescent="0.25">
      <c r="A127" s="170" t="s">
        <v>362</v>
      </c>
      <c r="B127" s="170" t="s">
        <v>514</v>
      </c>
      <c r="C127" s="199" t="s">
        <v>217</v>
      </c>
      <c r="D127" s="200">
        <v>199</v>
      </c>
      <c r="E127" s="175" t="s">
        <v>224</v>
      </c>
      <c r="F127" s="175" t="s">
        <v>224</v>
      </c>
      <c r="G127" s="175" t="s">
        <v>224</v>
      </c>
      <c r="H127" s="175" t="s">
        <v>224</v>
      </c>
      <c r="I127" s="175" t="s">
        <v>224</v>
      </c>
      <c r="J127" s="175" t="s">
        <v>224</v>
      </c>
      <c r="K127" s="219" t="s">
        <v>233</v>
      </c>
    </row>
    <row r="128" spans="1:11" x14ac:dyDescent="0.25">
      <c r="A128" s="170" t="s">
        <v>362</v>
      </c>
      <c r="B128" s="170" t="s">
        <v>323</v>
      </c>
      <c r="C128" s="199" t="s">
        <v>217</v>
      </c>
      <c r="D128" s="200">
        <v>210</v>
      </c>
      <c r="E128" s="219" t="s">
        <v>233</v>
      </c>
      <c r="F128" s="219" t="s">
        <v>233</v>
      </c>
      <c r="G128" s="219" t="s">
        <v>233</v>
      </c>
      <c r="H128" s="219" t="s">
        <v>233</v>
      </c>
      <c r="I128" s="219" t="s">
        <v>233</v>
      </c>
      <c r="J128" s="219" t="s">
        <v>677</v>
      </c>
      <c r="K128" s="219" t="s">
        <v>233</v>
      </c>
    </row>
    <row r="129" spans="1:11" x14ac:dyDescent="0.25">
      <c r="A129" s="170" t="s">
        <v>362</v>
      </c>
      <c r="B129" s="170" t="s">
        <v>265</v>
      </c>
      <c r="C129" s="199" t="s">
        <v>217</v>
      </c>
      <c r="D129" s="200">
        <v>323</v>
      </c>
      <c r="E129" s="175" t="s">
        <v>224</v>
      </c>
      <c r="F129" s="175" t="s">
        <v>224</v>
      </c>
      <c r="G129" s="175" t="s">
        <v>224</v>
      </c>
      <c r="H129" s="175" t="s">
        <v>224</v>
      </c>
      <c r="I129" s="175" t="s">
        <v>224</v>
      </c>
      <c r="J129" s="175" t="s">
        <v>224</v>
      </c>
      <c r="K129" s="175" t="s">
        <v>224</v>
      </c>
    </row>
    <row r="130" spans="1:11" x14ac:dyDescent="0.25">
      <c r="A130" s="170" t="s">
        <v>362</v>
      </c>
      <c r="B130" s="170" t="s">
        <v>324</v>
      </c>
      <c r="C130" s="199" t="s">
        <v>217</v>
      </c>
      <c r="D130" s="200">
        <v>302</v>
      </c>
      <c r="E130" s="175" t="s">
        <v>224</v>
      </c>
      <c r="F130" s="175" t="s">
        <v>224</v>
      </c>
      <c r="G130" s="175" t="s">
        <v>224</v>
      </c>
      <c r="H130" s="175" t="s">
        <v>224</v>
      </c>
      <c r="I130" s="175" t="s">
        <v>224</v>
      </c>
      <c r="J130" s="175" t="s">
        <v>224</v>
      </c>
      <c r="K130" s="175" t="s">
        <v>224</v>
      </c>
    </row>
    <row r="131" spans="1:11" x14ac:dyDescent="0.25">
      <c r="A131" s="170" t="s">
        <v>362</v>
      </c>
      <c r="B131" s="170" t="s">
        <v>515</v>
      </c>
      <c r="C131" s="199" t="s">
        <v>272</v>
      </c>
      <c r="D131" s="200">
        <v>260</v>
      </c>
      <c r="E131" s="175" t="s">
        <v>224</v>
      </c>
      <c r="F131" s="175" t="s">
        <v>227</v>
      </c>
      <c r="G131" s="175" t="s">
        <v>224</v>
      </c>
      <c r="H131" s="175" t="s">
        <v>224</v>
      </c>
      <c r="I131" s="175" t="s">
        <v>224</v>
      </c>
      <c r="J131" s="175" t="s">
        <v>224</v>
      </c>
      <c r="K131" s="175" t="s">
        <v>224</v>
      </c>
    </row>
    <row r="132" spans="1:11" x14ac:dyDescent="0.25">
      <c r="A132" s="170" t="s">
        <v>362</v>
      </c>
      <c r="B132" s="170" t="s">
        <v>266</v>
      </c>
      <c r="C132" s="199" t="s">
        <v>217</v>
      </c>
      <c r="D132" s="200">
        <v>389</v>
      </c>
      <c r="E132" s="175" t="s">
        <v>224</v>
      </c>
      <c r="F132" s="219" t="s">
        <v>233</v>
      </c>
      <c r="G132" s="175" t="s">
        <v>224</v>
      </c>
      <c r="H132" s="219" t="s">
        <v>233</v>
      </c>
      <c r="I132" s="175" t="s">
        <v>224</v>
      </c>
      <c r="J132" s="175" t="s">
        <v>224</v>
      </c>
      <c r="K132" s="175" t="s">
        <v>224</v>
      </c>
    </row>
    <row r="133" spans="1:11" x14ac:dyDescent="0.25">
      <c r="A133" s="170" t="s">
        <v>157</v>
      </c>
      <c r="B133" s="170" t="s">
        <v>516</v>
      </c>
      <c r="C133" s="199" t="s">
        <v>217</v>
      </c>
      <c r="D133" s="200">
        <v>4</v>
      </c>
      <c r="E133" s="175" t="s">
        <v>227</v>
      </c>
      <c r="F133" s="175" t="s">
        <v>227</v>
      </c>
      <c r="G133" s="175" t="s">
        <v>224</v>
      </c>
      <c r="H133" s="175" t="s">
        <v>227</v>
      </c>
      <c r="I133" s="175" t="s">
        <v>227</v>
      </c>
      <c r="J133" s="175" t="s">
        <v>227</v>
      </c>
      <c r="K133" s="175" t="s">
        <v>227</v>
      </c>
    </row>
    <row r="134" spans="1:11" x14ac:dyDescent="0.25">
      <c r="A134" s="170" t="s">
        <v>157</v>
      </c>
      <c r="B134" s="170" t="s">
        <v>517</v>
      </c>
      <c r="C134" s="199" t="s">
        <v>217</v>
      </c>
      <c r="D134" s="200">
        <v>61</v>
      </c>
      <c r="E134" s="175" t="s">
        <v>227</v>
      </c>
      <c r="F134" s="175" t="s">
        <v>227</v>
      </c>
      <c r="G134" s="175" t="s">
        <v>224</v>
      </c>
      <c r="H134" s="175" t="s">
        <v>227</v>
      </c>
      <c r="I134" s="175" t="s">
        <v>227</v>
      </c>
      <c r="J134" s="175" t="s">
        <v>227</v>
      </c>
      <c r="K134" s="175" t="s">
        <v>227</v>
      </c>
    </row>
    <row r="135" spans="1:11" x14ac:dyDescent="0.25">
      <c r="A135" s="170" t="s">
        <v>157</v>
      </c>
      <c r="B135" s="170" t="s">
        <v>518</v>
      </c>
      <c r="C135" s="171" t="s">
        <v>217</v>
      </c>
      <c r="D135" s="200">
        <v>12</v>
      </c>
      <c r="E135" s="175" t="s">
        <v>227</v>
      </c>
      <c r="F135" s="175" t="s">
        <v>227</v>
      </c>
      <c r="G135" s="175" t="s">
        <v>224</v>
      </c>
      <c r="H135" s="175" t="s">
        <v>227</v>
      </c>
      <c r="I135" s="175" t="s">
        <v>227</v>
      </c>
      <c r="J135" s="175" t="s">
        <v>227</v>
      </c>
      <c r="K135" s="175" t="s">
        <v>227</v>
      </c>
    </row>
    <row r="136" spans="1:11" x14ac:dyDescent="0.25">
      <c r="A136" s="170" t="s">
        <v>182</v>
      </c>
      <c r="B136" s="170" t="s">
        <v>519</v>
      </c>
      <c r="C136" s="171" t="s">
        <v>275</v>
      </c>
      <c r="D136" s="200">
        <v>253</v>
      </c>
      <c r="E136" s="219" t="s">
        <v>233</v>
      </c>
      <c r="F136" s="219" t="s">
        <v>233</v>
      </c>
      <c r="G136" s="219" t="s">
        <v>233</v>
      </c>
      <c r="H136" s="219" t="s">
        <v>233</v>
      </c>
      <c r="I136" s="219" t="s">
        <v>233</v>
      </c>
      <c r="J136" s="219" t="s">
        <v>233</v>
      </c>
      <c r="K136" s="219" t="s">
        <v>233</v>
      </c>
    </row>
    <row r="137" spans="1:11" x14ac:dyDescent="0.25">
      <c r="A137" s="170" t="s">
        <v>159</v>
      </c>
      <c r="B137" s="170" t="s">
        <v>267</v>
      </c>
      <c r="C137" s="171" t="s">
        <v>273</v>
      </c>
      <c r="D137" s="200">
        <v>236</v>
      </c>
      <c r="E137" s="175" t="s">
        <v>227</v>
      </c>
      <c r="F137" s="175" t="s">
        <v>227</v>
      </c>
      <c r="G137" s="175" t="s">
        <v>224</v>
      </c>
      <c r="H137" s="175" t="s">
        <v>227</v>
      </c>
      <c r="I137" s="175" t="s">
        <v>224</v>
      </c>
      <c r="J137" s="175" t="s">
        <v>224</v>
      </c>
      <c r="K137" s="219" t="s">
        <v>233</v>
      </c>
    </row>
    <row r="138" spans="1:11" x14ac:dyDescent="0.25">
      <c r="A138" s="170" t="s">
        <v>168</v>
      </c>
      <c r="B138" s="170" t="s">
        <v>520</v>
      </c>
      <c r="C138" s="171" t="s">
        <v>274</v>
      </c>
      <c r="D138" s="200">
        <v>151</v>
      </c>
      <c r="E138" s="219" t="s">
        <v>233</v>
      </c>
      <c r="F138" s="219" t="s">
        <v>233</v>
      </c>
      <c r="G138" s="219" t="s">
        <v>233</v>
      </c>
      <c r="H138" s="219" t="s">
        <v>233</v>
      </c>
      <c r="I138" s="219" t="s">
        <v>233</v>
      </c>
      <c r="J138" s="219" t="s">
        <v>233</v>
      </c>
      <c r="K138" s="219" t="s">
        <v>233</v>
      </c>
    </row>
    <row r="139" spans="1:11" x14ac:dyDescent="0.25">
      <c r="A139" s="170" t="s">
        <v>168</v>
      </c>
      <c r="B139" s="170" t="s">
        <v>268</v>
      </c>
      <c r="C139" s="171" t="s">
        <v>274</v>
      </c>
      <c r="D139" s="200">
        <v>208</v>
      </c>
      <c r="E139" s="175" t="s">
        <v>224</v>
      </c>
      <c r="F139" s="219" t="s">
        <v>233</v>
      </c>
      <c r="G139" s="175" t="s">
        <v>224</v>
      </c>
      <c r="H139" s="219" t="s">
        <v>233</v>
      </c>
      <c r="I139" s="219" t="s">
        <v>233</v>
      </c>
      <c r="J139" s="219" t="s">
        <v>233</v>
      </c>
      <c r="K139" s="175" t="s">
        <v>224</v>
      </c>
    </row>
    <row r="140" spans="1:11" x14ac:dyDescent="0.25">
      <c r="A140" s="170" t="s">
        <v>148</v>
      </c>
      <c r="B140" s="170" t="s">
        <v>249</v>
      </c>
      <c r="C140" s="171" t="s">
        <v>217</v>
      </c>
      <c r="D140" s="200">
        <v>388</v>
      </c>
      <c r="E140" s="175" t="s">
        <v>224</v>
      </c>
      <c r="F140" s="175" t="s">
        <v>224</v>
      </c>
      <c r="G140" s="175" t="s">
        <v>224</v>
      </c>
      <c r="H140" s="175" t="s">
        <v>224</v>
      </c>
      <c r="I140" s="175" t="s">
        <v>224</v>
      </c>
      <c r="J140" s="175" t="s">
        <v>224</v>
      </c>
      <c r="K140" s="175" t="s">
        <v>224</v>
      </c>
    </row>
    <row r="141" spans="1:11" x14ac:dyDescent="0.25">
      <c r="A141" s="170" t="s">
        <v>148</v>
      </c>
      <c r="B141" s="170" t="s">
        <v>521</v>
      </c>
      <c r="C141" s="171" t="s">
        <v>217</v>
      </c>
      <c r="D141" s="200">
        <v>312</v>
      </c>
      <c r="E141" s="175" t="s">
        <v>227</v>
      </c>
      <c r="F141" s="175" t="s">
        <v>227</v>
      </c>
      <c r="G141" s="175" t="s">
        <v>224</v>
      </c>
      <c r="H141" s="175" t="s">
        <v>224</v>
      </c>
      <c r="I141" s="175" t="s">
        <v>224</v>
      </c>
      <c r="J141" s="175" t="s">
        <v>224</v>
      </c>
      <c r="K141" s="175" t="s">
        <v>224</v>
      </c>
    </row>
    <row r="142" spans="1:11" x14ac:dyDescent="0.25">
      <c r="A142" s="170" t="s">
        <v>148</v>
      </c>
      <c r="B142" s="170" t="s">
        <v>325</v>
      </c>
      <c r="C142" s="171" t="s">
        <v>217</v>
      </c>
      <c r="D142" s="200">
        <v>164</v>
      </c>
      <c r="E142" s="175" t="s">
        <v>224</v>
      </c>
      <c r="F142" s="175" t="s">
        <v>227</v>
      </c>
      <c r="G142" s="175" t="s">
        <v>224</v>
      </c>
      <c r="H142" s="175" t="s">
        <v>227</v>
      </c>
      <c r="I142" s="219" t="s">
        <v>233</v>
      </c>
      <c r="J142" s="219" t="s">
        <v>233</v>
      </c>
      <c r="K142" s="175" t="s">
        <v>224</v>
      </c>
    </row>
    <row r="143" spans="1:11" x14ac:dyDescent="0.25">
      <c r="A143" s="170" t="s">
        <v>148</v>
      </c>
      <c r="B143" s="170" t="s">
        <v>522</v>
      </c>
      <c r="C143" s="199" t="s">
        <v>217</v>
      </c>
      <c r="D143" s="200">
        <v>354</v>
      </c>
      <c r="E143" s="175" t="s">
        <v>224</v>
      </c>
      <c r="F143" s="175" t="s">
        <v>224</v>
      </c>
      <c r="G143" s="175" t="s">
        <v>224</v>
      </c>
      <c r="H143" s="175" t="s">
        <v>224</v>
      </c>
      <c r="I143" s="175" t="s">
        <v>224</v>
      </c>
      <c r="J143" s="175" t="s">
        <v>224</v>
      </c>
      <c r="K143" s="175" t="s">
        <v>224</v>
      </c>
    </row>
    <row r="144" spans="1:11" x14ac:dyDescent="0.25">
      <c r="A144" s="170" t="s">
        <v>148</v>
      </c>
      <c r="B144" s="170" t="s">
        <v>269</v>
      </c>
      <c r="C144" s="171" t="s">
        <v>222</v>
      </c>
      <c r="D144" s="200">
        <v>102</v>
      </c>
      <c r="E144" s="175" t="s">
        <v>224</v>
      </c>
      <c r="F144" s="175" t="s">
        <v>224</v>
      </c>
      <c r="G144" s="175" t="s">
        <v>224</v>
      </c>
      <c r="H144" s="175" t="s">
        <v>224</v>
      </c>
      <c r="I144" s="175" t="s">
        <v>224</v>
      </c>
      <c r="J144" s="175" t="s">
        <v>224</v>
      </c>
      <c r="K144" s="175" t="s">
        <v>224</v>
      </c>
    </row>
    <row r="145" spans="1:14" x14ac:dyDescent="0.25">
      <c r="A145" s="170" t="s">
        <v>148</v>
      </c>
      <c r="B145" s="170" t="s">
        <v>523</v>
      </c>
      <c r="C145" s="199" t="s">
        <v>217</v>
      </c>
      <c r="D145" s="200">
        <v>82</v>
      </c>
      <c r="E145" s="175" t="s">
        <v>224</v>
      </c>
      <c r="F145" s="219" t="s">
        <v>233</v>
      </c>
      <c r="G145" s="219" t="s">
        <v>233</v>
      </c>
      <c r="H145" s="219" t="s">
        <v>233</v>
      </c>
      <c r="I145" s="219" t="s">
        <v>233</v>
      </c>
      <c r="J145" s="219" t="s">
        <v>233</v>
      </c>
      <c r="K145" s="219" t="s">
        <v>233</v>
      </c>
    </row>
    <row r="146" spans="1:14" x14ac:dyDescent="0.25">
      <c r="A146" s="170" t="s">
        <v>148</v>
      </c>
      <c r="B146" s="170" t="s">
        <v>270</v>
      </c>
      <c r="C146" s="171" t="s">
        <v>217</v>
      </c>
      <c r="D146" s="200">
        <v>258</v>
      </c>
      <c r="E146" s="175" t="s">
        <v>224</v>
      </c>
      <c r="F146" s="175" t="s">
        <v>224</v>
      </c>
      <c r="G146" s="175" t="s">
        <v>224</v>
      </c>
      <c r="H146" s="175" t="s">
        <v>224</v>
      </c>
      <c r="I146" s="219" t="s">
        <v>233</v>
      </c>
      <c r="J146" s="219" t="s">
        <v>233</v>
      </c>
      <c r="K146" s="175" t="s">
        <v>224</v>
      </c>
    </row>
    <row r="147" spans="1:14" x14ac:dyDescent="0.25">
      <c r="A147" s="170" t="s">
        <v>148</v>
      </c>
      <c r="B147" s="170" t="s">
        <v>524</v>
      </c>
      <c r="C147" s="171" t="s">
        <v>217</v>
      </c>
      <c r="D147" s="200">
        <v>286</v>
      </c>
      <c r="E147" s="219" t="s">
        <v>233</v>
      </c>
      <c r="F147" s="219" t="s">
        <v>233</v>
      </c>
      <c r="G147" s="219" t="s">
        <v>233</v>
      </c>
      <c r="H147" s="219" t="s">
        <v>233</v>
      </c>
      <c r="I147" s="219" t="s">
        <v>233</v>
      </c>
      <c r="J147" s="219" t="s">
        <v>233</v>
      </c>
      <c r="K147" s="219" t="s">
        <v>233</v>
      </c>
    </row>
    <row r="148" spans="1:14" x14ac:dyDescent="0.25">
      <c r="A148" s="170" t="s">
        <v>148</v>
      </c>
      <c r="B148" s="170" t="s">
        <v>525</v>
      </c>
      <c r="C148" s="171" t="s">
        <v>218</v>
      </c>
      <c r="D148" s="200">
        <v>368</v>
      </c>
      <c r="E148" s="175" t="s">
        <v>224</v>
      </c>
      <c r="F148" s="175" t="s">
        <v>227</v>
      </c>
      <c r="G148" s="175" t="s">
        <v>224</v>
      </c>
      <c r="H148" s="175" t="s">
        <v>224</v>
      </c>
      <c r="I148" s="175" t="s">
        <v>224</v>
      </c>
      <c r="J148" s="175" t="s">
        <v>233</v>
      </c>
      <c r="K148" s="175" t="s">
        <v>224</v>
      </c>
    </row>
    <row r="149" spans="1:14" x14ac:dyDescent="0.25">
      <c r="A149" s="170" t="s">
        <v>148</v>
      </c>
      <c r="B149" s="170" t="s">
        <v>526</v>
      </c>
      <c r="C149" s="199" t="s">
        <v>217</v>
      </c>
      <c r="D149" s="200">
        <v>344</v>
      </c>
      <c r="E149" s="175" t="s">
        <v>224</v>
      </c>
      <c r="F149" s="219" t="s">
        <v>233</v>
      </c>
      <c r="G149" s="175" t="s">
        <v>224</v>
      </c>
      <c r="H149" s="219" t="s">
        <v>233</v>
      </c>
      <c r="I149" s="175" t="s">
        <v>224</v>
      </c>
      <c r="J149" s="219" t="s">
        <v>233</v>
      </c>
      <c r="K149" s="175" t="s">
        <v>224</v>
      </c>
    </row>
    <row r="150" spans="1:14" x14ac:dyDescent="0.25">
      <c r="A150" s="170" t="s">
        <v>256</v>
      </c>
      <c r="B150" s="170" t="s">
        <v>527</v>
      </c>
      <c r="C150" s="199" t="s">
        <v>217</v>
      </c>
      <c r="D150" s="200">
        <v>32</v>
      </c>
      <c r="E150" s="219" t="s">
        <v>233</v>
      </c>
      <c r="F150" s="219" t="s">
        <v>233</v>
      </c>
      <c r="G150" s="219" t="s">
        <v>233</v>
      </c>
      <c r="H150" s="219" t="s">
        <v>233</v>
      </c>
      <c r="I150" s="219" t="s">
        <v>233</v>
      </c>
      <c r="J150" s="219" t="s">
        <v>233</v>
      </c>
      <c r="K150" s="219" t="s">
        <v>233</v>
      </c>
    </row>
    <row r="151" spans="1:14" x14ac:dyDescent="0.25">
      <c r="A151" s="170" t="s">
        <v>178</v>
      </c>
      <c r="B151" s="170" t="s">
        <v>250</v>
      </c>
      <c r="C151" s="199" t="s">
        <v>222</v>
      </c>
      <c r="D151" s="200">
        <v>435</v>
      </c>
      <c r="E151" s="175" t="s">
        <v>224</v>
      </c>
      <c r="F151" s="175" t="s">
        <v>224</v>
      </c>
      <c r="G151" s="175" t="s">
        <v>224</v>
      </c>
      <c r="H151" s="175" t="s">
        <v>224</v>
      </c>
      <c r="I151" s="175" t="s">
        <v>224</v>
      </c>
      <c r="J151" s="175" t="s">
        <v>224</v>
      </c>
      <c r="K151" s="175" t="s">
        <v>224</v>
      </c>
    </row>
    <row r="152" spans="1:14" x14ac:dyDescent="0.25">
      <c r="A152" s="170" t="s">
        <v>178</v>
      </c>
      <c r="B152" s="170" t="s">
        <v>187</v>
      </c>
      <c r="C152" s="220" t="s">
        <v>606</v>
      </c>
      <c r="D152" s="200">
        <v>285</v>
      </c>
      <c r="E152" s="175" t="s">
        <v>224</v>
      </c>
      <c r="F152" s="175" t="s">
        <v>224</v>
      </c>
      <c r="G152" s="175" t="s">
        <v>224</v>
      </c>
      <c r="H152" s="175" t="s">
        <v>224</v>
      </c>
      <c r="I152" s="175" t="s">
        <v>224</v>
      </c>
      <c r="J152" s="175" t="s">
        <v>224</v>
      </c>
      <c r="K152" s="175" t="s">
        <v>224</v>
      </c>
    </row>
    <row r="153" spans="1:14" x14ac:dyDescent="0.25">
      <c r="A153" s="170" t="s">
        <v>178</v>
      </c>
      <c r="B153" s="170" t="s">
        <v>191</v>
      </c>
      <c r="C153" s="220" t="s">
        <v>223</v>
      </c>
      <c r="D153" s="200">
        <v>355</v>
      </c>
      <c r="E153" s="175" t="s">
        <v>224</v>
      </c>
      <c r="F153" s="175" t="s">
        <v>224</v>
      </c>
      <c r="G153" s="175" t="s">
        <v>224</v>
      </c>
      <c r="H153" s="175" t="s">
        <v>224</v>
      </c>
      <c r="I153" s="175" t="s">
        <v>224</v>
      </c>
      <c r="J153" s="175" t="s">
        <v>224</v>
      </c>
      <c r="K153" s="175" t="s">
        <v>224</v>
      </c>
    </row>
    <row r="154" spans="1:14" x14ac:dyDescent="0.25">
      <c r="A154" s="170" t="s">
        <v>178</v>
      </c>
      <c r="B154" s="170" t="s">
        <v>197</v>
      </c>
      <c r="C154" s="171" t="s">
        <v>222</v>
      </c>
      <c r="D154" s="200">
        <v>387</v>
      </c>
      <c r="E154" s="175" t="s">
        <v>224</v>
      </c>
      <c r="F154" s="175" t="s">
        <v>224</v>
      </c>
      <c r="G154" s="175" t="s">
        <v>224</v>
      </c>
      <c r="H154" s="175" t="s">
        <v>224</v>
      </c>
      <c r="I154" s="175" t="s">
        <v>224</v>
      </c>
      <c r="J154" s="175" t="s">
        <v>224</v>
      </c>
      <c r="K154" s="175" t="s">
        <v>224</v>
      </c>
    </row>
    <row r="155" spans="1:14" x14ac:dyDescent="0.25">
      <c r="A155" s="170" t="s">
        <v>364</v>
      </c>
      <c r="B155" s="170" t="s">
        <v>271</v>
      </c>
      <c r="C155" s="171" t="s">
        <v>216</v>
      </c>
      <c r="D155" s="200">
        <v>287</v>
      </c>
      <c r="E155" s="175" t="s">
        <v>224</v>
      </c>
      <c r="F155" s="175" t="s">
        <v>224</v>
      </c>
      <c r="G155" s="175" t="s">
        <v>224</v>
      </c>
      <c r="H155" s="175" t="s">
        <v>224</v>
      </c>
      <c r="I155" s="175" t="s">
        <v>224</v>
      </c>
      <c r="J155" s="175" t="s">
        <v>224</v>
      </c>
      <c r="K155" s="175" t="s">
        <v>224</v>
      </c>
    </row>
    <row r="156" spans="1:14" x14ac:dyDescent="0.25">
      <c r="A156" s="170" t="s">
        <v>364</v>
      </c>
      <c r="B156" s="170" t="s">
        <v>326</v>
      </c>
      <c r="C156" s="171" t="s">
        <v>216</v>
      </c>
      <c r="D156" s="200">
        <v>332</v>
      </c>
      <c r="E156" s="219" t="s">
        <v>233</v>
      </c>
      <c r="F156" s="175" t="s">
        <v>224</v>
      </c>
      <c r="G156" s="175" t="s">
        <v>224</v>
      </c>
      <c r="H156" s="175" t="s">
        <v>224</v>
      </c>
      <c r="I156" s="175" t="s">
        <v>224</v>
      </c>
      <c r="J156" s="175" t="s">
        <v>224</v>
      </c>
      <c r="K156" s="175" t="s">
        <v>224</v>
      </c>
    </row>
    <row r="157" spans="1:14" x14ac:dyDescent="0.25">
      <c r="A157" s="170" t="s">
        <v>364</v>
      </c>
      <c r="B157" s="170" t="s">
        <v>528</v>
      </c>
      <c r="C157" s="171" t="s">
        <v>216</v>
      </c>
      <c r="D157" s="200">
        <v>312</v>
      </c>
      <c r="E157" s="175" t="s">
        <v>224</v>
      </c>
      <c r="F157" s="175" t="s">
        <v>224</v>
      </c>
      <c r="G157" s="175" t="s">
        <v>224</v>
      </c>
      <c r="H157" s="175" t="s">
        <v>224</v>
      </c>
      <c r="I157" s="175" t="s">
        <v>224</v>
      </c>
      <c r="J157" s="175" t="s">
        <v>224</v>
      </c>
      <c r="K157" s="175" t="s">
        <v>224</v>
      </c>
    </row>
    <row r="158" spans="1:14" x14ac:dyDescent="0.25">
      <c r="A158" s="170" t="s">
        <v>364</v>
      </c>
      <c r="B158" s="170" t="s">
        <v>190</v>
      </c>
      <c r="C158" s="171" t="s">
        <v>216</v>
      </c>
      <c r="D158" s="200">
        <v>293</v>
      </c>
      <c r="E158" s="175" t="s">
        <v>224</v>
      </c>
      <c r="F158" s="175" t="s">
        <v>227</v>
      </c>
      <c r="G158" s="175" t="s">
        <v>224</v>
      </c>
      <c r="H158" s="175" t="s">
        <v>227</v>
      </c>
      <c r="I158" s="175" t="s">
        <v>227</v>
      </c>
      <c r="J158" s="175" t="s">
        <v>227</v>
      </c>
      <c r="K158" s="175" t="s">
        <v>227</v>
      </c>
    </row>
    <row r="159" spans="1:14" x14ac:dyDescent="0.25">
      <c r="A159" s="170" t="s">
        <v>364</v>
      </c>
      <c r="B159" s="170" t="s">
        <v>327</v>
      </c>
      <c r="C159" s="171" t="s">
        <v>216</v>
      </c>
      <c r="D159" s="200">
        <v>326</v>
      </c>
      <c r="E159" s="175" t="s">
        <v>224</v>
      </c>
      <c r="F159" s="175" t="s">
        <v>224</v>
      </c>
      <c r="G159" s="175" t="s">
        <v>224</v>
      </c>
      <c r="H159" s="175" t="s">
        <v>224</v>
      </c>
      <c r="I159" s="175" t="s">
        <v>224</v>
      </c>
      <c r="J159" s="175" t="s">
        <v>224</v>
      </c>
      <c r="K159" s="175" t="s">
        <v>224</v>
      </c>
      <c r="N159" s="3"/>
    </row>
    <row r="160" spans="1:14" x14ac:dyDescent="0.25">
      <c r="A160" s="170" t="s">
        <v>364</v>
      </c>
      <c r="B160" s="170" t="s">
        <v>530</v>
      </c>
      <c r="C160" s="171" t="s">
        <v>217</v>
      </c>
      <c r="D160" s="200">
        <v>442</v>
      </c>
      <c r="E160" s="175" t="s">
        <v>224</v>
      </c>
      <c r="F160" s="175" t="s">
        <v>224</v>
      </c>
      <c r="G160" s="175" t="s">
        <v>224</v>
      </c>
      <c r="H160" s="175" t="s">
        <v>224</v>
      </c>
      <c r="I160" s="175" t="s">
        <v>224</v>
      </c>
      <c r="J160" s="175" t="s">
        <v>224</v>
      </c>
      <c r="K160" s="175" t="s">
        <v>224</v>
      </c>
    </row>
    <row r="161" spans="1:11" x14ac:dyDescent="0.25">
      <c r="A161" s="170" t="s">
        <v>184</v>
      </c>
      <c r="B161" s="170" t="s">
        <v>531</v>
      </c>
      <c r="C161" s="171" t="s">
        <v>216</v>
      </c>
      <c r="D161" s="200">
        <v>10</v>
      </c>
      <c r="E161" s="175" t="s">
        <v>224</v>
      </c>
      <c r="F161" s="175" t="s">
        <v>227</v>
      </c>
      <c r="G161" s="175" t="s">
        <v>224</v>
      </c>
      <c r="H161" s="175" t="s">
        <v>227</v>
      </c>
      <c r="I161" s="175" t="s">
        <v>224</v>
      </c>
      <c r="J161" s="175" t="s">
        <v>227</v>
      </c>
      <c r="K161" s="175" t="s">
        <v>224</v>
      </c>
    </row>
    <row r="162" spans="1:11" x14ac:dyDescent="0.25">
      <c r="A162" s="170" t="s">
        <v>184</v>
      </c>
      <c r="B162" s="170" t="s">
        <v>199</v>
      </c>
      <c r="C162" s="171" t="s">
        <v>216</v>
      </c>
      <c r="D162" s="200">
        <v>296</v>
      </c>
      <c r="E162" s="175" t="s">
        <v>224</v>
      </c>
      <c r="F162" s="175" t="s">
        <v>224</v>
      </c>
      <c r="G162" s="175" t="s">
        <v>224</v>
      </c>
      <c r="H162" s="175" t="s">
        <v>227</v>
      </c>
      <c r="I162" s="175" t="s">
        <v>224</v>
      </c>
      <c r="J162" s="175" t="s">
        <v>227</v>
      </c>
      <c r="K162" s="175" t="s">
        <v>224</v>
      </c>
    </row>
    <row r="163" spans="1:11" x14ac:dyDescent="0.25">
      <c r="A163" s="170" t="s">
        <v>149</v>
      </c>
      <c r="B163" s="170" t="s">
        <v>328</v>
      </c>
      <c r="C163" s="171" t="s">
        <v>216</v>
      </c>
      <c r="D163" s="200">
        <v>290</v>
      </c>
      <c r="E163" s="175" t="s">
        <v>224</v>
      </c>
      <c r="F163" s="175" t="s">
        <v>227</v>
      </c>
      <c r="G163" s="175" t="s">
        <v>224</v>
      </c>
      <c r="H163" s="175" t="s">
        <v>224</v>
      </c>
      <c r="I163" s="175" t="s">
        <v>224</v>
      </c>
      <c r="J163" s="175" t="s">
        <v>224</v>
      </c>
      <c r="K163" s="175" t="s">
        <v>227</v>
      </c>
    </row>
    <row r="164" spans="1:11" x14ac:dyDescent="0.25">
      <c r="A164" s="170" t="s">
        <v>149</v>
      </c>
      <c r="B164" s="170" t="s">
        <v>329</v>
      </c>
      <c r="C164" s="171" t="s">
        <v>216</v>
      </c>
      <c r="D164" s="200">
        <v>301</v>
      </c>
      <c r="E164" s="175" t="s">
        <v>224</v>
      </c>
      <c r="F164" s="175" t="s">
        <v>227</v>
      </c>
      <c r="G164" s="175" t="s">
        <v>224</v>
      </c>
      <c r="H164" s="175" t="s">
        <v>227</v>
      </c>
      <c r="I164" s="175" t="s">
        <v>224</v>
      </c>
      <c r="J164" s="175" t="s">
        <v>224</v>
      </c>
      <c r="K164" s="175" t="s">
        <v>227</v>
      </c>
    </row>
    <row r="165" spans="1:11" x14ac:dyDescent="0.25">
      <c r="A165" s="170" t="s">
        <v>149</v>
      </c>
      <c r="B165" s="170" t="s">
        <v>330</v>
      </c>
      <c r="C165" s="171" t="s">
        <v>216</v>
      </c>
      <c r="D165" s="200">
        <v>303</v>
      </c>
      <c r="E165" s="175" t="s">
        <v>224</v>
      </c>
      <c r="F165" s="175" t="s">
        <v>227</v>
      </c>
      <c r="G165" s="175" t="s">
        <v>224</v>
      </c>
      <c r="H165" s="175" t="s">
        <v>224</v>
      </c>
      <c r="I165" s="175" t="s">
        <v>224</v>
      </c>
      <c r="J165" s="175" t="s">
        <v>224</v>
      </c>
      <c r="K165" s="175" t="s">
        <v>227</v>
      </c>
    </row>
    <row r="166" spans="1:11" x14ac:dyDescent="0.25">
      <c r="A166" s="170" t="s">
        <v>149</v>
      </c>
      <c r="B166" s="170" t="s">
        <v>331</v>
      </c>
      <c r="C166" s="171" t="s">
        <v>216</v>
      </c>
      <c r="D166" s="221">
        <v>5</v>
      </c>
      <c r="E166" s="175" t="s">
        <v>224</v>
      </c>
      <c r="F166" s="175" t="s">
        <v>227</v>
      </c>
      <c r="G166" s="175" t="s">
        <v>224</v>
      </c>
      <c r="H166" s="175" t="s">
        <v>224</v>
      </c>
      <c r="I166" s="175" t="s">
        <v>224</v>
      </c>
      <c r="J166" s="175" t="s">
        <v>224</v>
      </c>
      <c r="K166" s="175" t="s">
        <v>227</v>
      </c>
    </row>
    <row r="167" spans="1:11" x14ac:dyDescent="0.25">
      <c r="A167" s="170" t="s">
        <v>149</v>
      </c>
      <c r="B167" s="170" t="s">
        <v>332</v>
      </c>
      <c r="C167" s="171" t="s">
        <v>216</v>
      </c>
      <c r="D167" s="200">
        <v>16</v>
      </c>
      <c r="E167" s="175" t="s">
        <v>224</v>
      </c>
      <c r="F167" s="175" t="s">
        <v>227</v>
      </c>
      <c r="G167" s="175" t="s">
        <v>227</v>
      </c>
      <c r="H167" s="175" t="s">
        <v>224</v>
      </c>
      <c r="I167" s="175" t="s">
        <v>224</v>
      </c>
      <c r="J167" s="175" t="s">
        <v>224</v>
      </c>
      <c r="K167" s="175" t="s">
        <v>224</v>
      </c>
    </row>
    <row r="168" spans="1:11" x14ac:dyDescent="0.25">
      <c r="A168" s="170" t="s">
        <v>181</v>
      </c>
      <c r="B168" s="170" t="s">
        <v>532</v>
      </c>
      <c r="C168" s="171" t="s">
        <v>220</v>
      </c>
      <c r="D168" s="200">
        <v>192</v>
      </c>
      <c r="E168" s="175" t="s">
        <v>227</v>
      </c>
      <c r="F168" s="175" t="s">
        <v>227</v>
      </c>
      <c r="G168" s="175" t="s">
        <v>227</v>
      </c>
      <c r="H168" s="175" t="s">
        <v>227</v>
      </c>
      <c r="I168" s="175" t="s">
        <v>227</v>
      </c>
      <c r="J168" s="175" t="s">
        <v>227</v>
      </c>
      <c r="K168" s="175" t="s">
        <v>227</v>
      </c>
    </row>
    <row r="169" spans="1:11" x14ac:dyDescent="0.25">
      <c r="A169" s="170" t="s">
        <v>181</v>
      </c>
      <c r="B169" s="170" t="s">
        <v>533</v>
      </c>
      <c r="C169" s="171" t="s">
        <v>221</v>
      </c>
      <c r="D169" s="200">
        <v>186</v>
      </c>
      <c r="E169" s="175" t="s">
        <v>227</v>
      </c>
      <c r="F169" s="175" t="s">
        <v>227</v>
      </c>
      <c r="G169" s="175" t="s">
        <v>227</v>
      </c>
      <c r="H169" s="175" t="s">
        <v>227</v>
      </c>
      <c r="I169" s="175" t="s">
        <v>227</v>
      </c>
      <c r="J169" s="175" t="s">
        <v>227</v>
      </c>
      <c r="K169" s="175" t="s">
        <v>227</v>
      </c>
    </row>
    <row r="170" spans="1:11" x14ac:dyDescent="0.25">
      <c r="A170" s="170" t="s">
        <v>179</v>
      </c>
      <c r="B170" s="170" t="s">
        <v>251</v>
      </c>
      <c r="C170" s="171" t="s">
        <v>216</v>
      </c>
      <c r="D170" s="200">
        <v>212</v>
      </c>
      <c r="E170" s="175" t="s">
        <v>224</v>
      </c>
      <c r="F170" s="175" t="s">
        <v>224</v>
      </c>
      <c r="G170" s="175" t="s">
        <v>224</v>
      </c>
      <c r="H170" s="175" t="s">
        <v>224</v>
      </c>
      <c r="I170" s="175" t="s">
        <v>224</v>
      </c>
      <c r="J170" s="175" t="s">
        <v>224</v>
      </c>
      <c r="K170" s="175" t="s">
        <v>227</v>
      </c>
    </row>
    <row r="171" spans="1:11" x14ac:dyDescent="0.25">
      <c r="A171" s="170" t="s">
        <v>183</v>
      </c>
      <c r="B171" s="170" t="s">
        <v>333</v>
      </c>
      <c r="C171" s="171" t="s">
        <v>216</v>
      </c>
      <c r="D171" s="200">
        <v>311</v>
      </c>
      <c r="E171" s="175" t="s">
        <v>224</v>
      </c>
      <c r="F171" s="175" t="s">
        <v>224</v>
      </c>
      <c r="G171" s="175" t="s">
        <v>224</v>
      </c>
      <c r="H171" s="219" t="s">
        <v>233</v>
      </c>
      <c r="I171" s="175" t="s">
        <v>227</v>
      </c>
      <c r="J171" s="175" t="s">
        <v>224</v>
      </c>
      <c r="K171" s="175" t="s">
        <v>227</v>
      </c>
    </row>
    <row r="172" spans="1:11" x14ac:dyDescent="0.25">
      <c r="A172" s="170" t="s">
        <v>183</v>
      </c>
      <c r="B172" s="170" t="s">
        <v>534</v>
      </c>
      <c r="C172" s="171" t="s">
        <v>216</v>
      </c>
      <c r="D172" s="200">
        <v>307</v>
      </c>
      <c r="E172" s="175" t="s">
        <v>227</v>
      </c>
      <c r="F172" s="175" t="s">
        <v>227</v>
      </c>
      <c r="G172" s="175" t="s">
        <v>224</v>
      </c>
      <c r="H172" s="175" t="s">
        <v>227</v>
      </c>
      <c r="I172" s="175" t="s">
        <v>227</v>
      </c>
      <c r="J172" s="175" t="s">
        <v>227</v>
      </c>
      <c r="K172" s="175" t="s">
        <v>227</v>
      </c>
    </row>
    <row r="173" spans="1:11" x14ac:dyDescent="0.25">
      <c r="A173" s="170" t="s">
        <v>183</v>
      </c>
      <c r="B173" s="170" t="s">
        <v>196</v>
      </c>
      <c r="C173" s="171" t="s">
        <v>216</v>
      </c>
      <c r="D173" s="200">
        <v>329</v>
      </c>
      <c r="E173" s="219" t="s">
        <v>233</v>
      </c>
      <c r="F173" s="219" t="s">
        <v>233</v>
      </c>
      <c r="G173" s="219" t="s">
        <v>233</v>
      </c>
      <c r="H173" s="219" t="s">
        <v>233</v>
      </c>
      <c r="I173" s="219" t="s">
        <v>233</v>
      </c>
      <c r="J173" s="219" t="s">
        <v>233</v>
      </c>
      <c r="K173" s="219" t="s">
        <v>233</v>
      </c>
    </row>
    <row r="174" spans="1:11" x14ac:dyDescent="0.25">
      <c r="A174" s="170" t="s">
        <v>257</v>
      </c>
      <c r="B174" s="170" t="s">
        <v>535</v>
      </c>
      <c r="C174" s="171" t="s">
        <v>222</v>
      </c>
      <c r="D174" s="200">
        <v>434</v>
      </c>
      <c r="E174" s="175" t="s">
        <v>224</v>
      </c>
      <c r="F174" s="175" t="s">
        <v>224</v>
      </c>
      <c r="G174" s="175" t="s">
        <v>224</v>
      </c>
      <c r="H174" s="175" t="s">
        <v>224</v>
      </c>
      <c r="I174" s="175" t="s">
        <v>224</v>
      </c>
      <c r="J174" s="175" t="s">
        <v>224</v>
      </c>
      <c r="K174" s="175" t="s">
        <v>227</v>
      </c>
    </row>
    <row r="175" spans="1:11" x14ac:dyDescent="0.25">
      <c r="A175" s="170" t="s">
        <v>365</v>
      </c>
      <c r="B175" s="170" t="s">
        <v>334</v>
      </c>
      <c r="C175" s="171" t="s">
        <v>216</v>
      </c>
      <c r="D175" s="200">
        <v>37</v>
      </c>
      <c r="E175" s="175" t="s">
        <v>224</v>
      </c>
      <c r="F175" s="175" t="s">
        <v>224</v>
      </c>
      <c r="G175" s="175" t="s">
        <v>224</v>
      </c>
      <c r="H175" s="175" t="s">
        <v>224</v>
      </c>
      <c r="I175" s="175" t="s">
        <v>224</v>
      </c>
      <c r="J175" s="175" t="s">
        <v>224</v>
      </c>
      <c r="K175" s="175" t="s">
        <v>224</v>
      </c>
    </row>
    <row r="176" spans="1:11" x14ac:dyDescent="0.25">
      <c r="A176" s="170" t="s">
        <v>365</v>
      </c>
      <c r="B176" s="170" t="s">
        <v>335</v>
      </c>
      <c r="C176" s="171" t="s">
        <v>216</v>
      </c>
      <c r="D176" s="200">
        <v>304</v>
      </c>
      <c r="E176" s="175" t="s">
        <v>224</v>
      </c>
      <c r="F176" s="175" t="s">
        <v>224</v>
      </c>
      <c r="G176" s="175" t="s">
        <v>224</v>
      </c>
      <c r="H176" s="175" t="s">
        <v>224</v>
      </c>
      <c r="I176" s="175" t="s">
        <v>224</v>
      </c>
      <c r="J176" s="175" t="s">
        <v>224</v>
      </c>
      <c r="K176" s="175" t="s">
        <v>224</v>
      </c>
    </row>
    <row r="177" spans="1:11" x14ac:dyDescent="0.25">
      <c r="A177" s="170" t="s">
        <v>365</v>
      </c>
      <c r="B177" s="170" t="s">
        <v>536</v>
      </c>
      <c r="C177" s="171" t="s">
        <v>216</v>
      </c>
      <c r="D177" s="200">
        <v>390</v>
      </c>
      <c r="E177" s="175" t="s">
        <v>224</v>
      </c>
      <c r="F177" s="175" t="s">
        <v>227</v>
      </c>
      <c r="G177" s="175" t="s">
        <v>224</v>
      </c>
      <c r="H177" s="175" t="s">
        <v>224</v>
      </c>
      <c r="I177" s="175" t="s">
        <v>224</v>
      </c>
      <c r="J177" s="175" t="s">
        <v>224</v>
      </c>
      <c r="K177" s="175" t="s">
        <v>224</v>
      </c>
    </row>
    <row r="178" spans="1:11" x14ac:dyDescent="0.25">
      <c r="A178" s="170" t="s">
        <v>174</v>
      </c>
      <c r="B178" s="170" t="s">
        <v>202</v>
      </c>
      <c r="C178" s="171" t="s">
        <v>219</v>
      </c>
      <c r="D178" s="200">
        <v>166</v>
      </c>
      <c r="E178" s="175" t="s">
        <v>224</v>
      </c>
      <c r="F178" s="175" t="s">
        <v>224</v>
      </c>
      <c r="G178" s="175" t="s">
        <v>224</v>
      </c>
      <c r="H178" s="175" t="s">
        <v>224</v>
      </c>
      <c r="I178" s="175" t="s">
        <v>224</v>
      </c>
      <c r="J178" s="175" t="s">
        <v>224</v>
      </c>
      <c r="K178" s="175" t="s">
        <v>224</v>
      </c>
    </row>
    <row r="179" spans="1:11" x14ac:dyDescent="0.25">
      <c r="A179" s="170" t="s">
        <v>174</v>
      </c>
      <c r="B179" s="170" t="s">
        <v>173</v>
      </c>
      <c r="C179" s="171" t="s">
        <v>275</v>
      </c>
      <c r="D179" s="200">
        <v>187</v>
      </c>
      <c r="E179" s="175" t="s">
        <v>224</v>
      </c>
      <c r="F179" s="175" t="s">
        <v>224</v>
      </c>
      <c r="G179" s="175" t="s">
        <v>224</v>
      </c>
      <c r="H179" s="175" t="s">
        <v>224</v>
      </c>
      <c r="I179" s="175" t="s">
        <v>224</v>
      </c>
      <c r="J179" s="175" t="s">
        <v>224</v>
      </c>
      <c r="K179" s="175" t="s">
        <v>224</v>
      </c>
    </row>
    <row r="180" spans="1:11" x14ac:dyDescent="0.25">
      <c r="A180" s="170" t="s">
        <v>174</v>
      </c>
      <c r="B180" s="170" t="s">
        <v>175</v>
      </c>
      <c r="C180" s="171" t="s">
        <v>273</v>
      </c>
      <c r="D180" s="200">
        <v>164</v>
      </c>
      <c r="E180" s="175" t="s">
        <v>224</v>
      </c>
      <c r="F180" s="175" t="s">
        <v>224</v>
      </c>
      <c r="G180" s="175" t="s">
        <v>224</v>
      </c>
      <c r="H180" s="175" t="s">
        <v>224</v>
      </c>
      <c r="I180" s="175" t="s">
        <v>224</v>
      </c>
      <c r="J180" s="175" t="s">
        <v>224</v>
      </c>
      <c r="K180" s="175" t="s">
        <v>224</v>
      </c>
    </row>
    <row r="181" spans="1:11" x14ac:dyDescent="0.25">
      <c r="A181" s="170" t="s">
        <v>366</v>
      </c>
      <c r="B181" s="170" t="s">
        <v>502</v>
      </c>
      <c r="C181" s="171" t="s">
        <v>216</v>
      </c>
      <c r="D181" s="200">
        <v>350</v>
      </c>
      <c r="E181" s="175" t="s">
        <v>224</v>
      </c>
      <c r="F181" s="175" t="s">
        <v>227</v>
      </c>
      <c r="G181" s="175" t="s">
        <v>224</v>
      </c>
      <c r="H181" s="175" t="s">
        <v>227</v>
      </c>
      <c r="I181" s="175" t="s">
        <v>224</v>
      </c>
      <c r="J181" s="175" t="s">
        <v>227</v>
      </c>
      <c r="K181" s="175" t="s">
        <v>224</v>
      </c>
    </row>
    <row r="182" spans="1:11" s="136" customFormat="1" ht="12.75" x14ac:dyDescent="0.2">
      <c r="A182" s="179"/>
      <c r="B182" s="180"/>
      <c r="C182" s="205" t="s">
        <v>7</v>
      </c>
      <c r="D182" s="182">
        <f>SUM(D120:D181)</f>
        <v>15601</v>
      </c>
      <c r="E182" s="185">
        <v>46</v>
      </c>
      <c r="F182" s="185">
        <v>30</v>
      </c>
      <c r="G182" s="185">
        <v>52</v>
      </c>
      <c r="H182" s="185">
        <v>37</v>
      </c>
      <c r="I182" s="185">
        <v>43</v>
      </c>
      <c r="J182" s="185">
        <v>39</v>
      </c>
      <c r="K182" s="185">
        <v>37</v>
      </c>
    </row>
    <row r="183" spans="1:11" s="136" customFormat="1" ht="12.75" x14ac:dyDescent="0.2">
      <c r="A183" s="186"/>
      <c r="B183" s="187"/>
      <c r="C183" s="188" t="s">
        <v>8</v>
      </c>
      <c r="D183" s="182">
        <f>AVERAGE(D120:D181)</f>
        <v>251.62903225806451</v>
      </c>
      <c r="E183" s="185"/>
      <c r="F183" s="185"/>
      <c r="G183" s="185"/>
      <c r="H183" s="185"/>
      <c r="I183" s="185"/>
      <c r="J183" s="185"/>
      <c r="K183" s="185"/>
    </row>
    <row r="184" spans="1:11" s="136" customFormat="1" ht="12.75" x14ac:dyDescent="0.2">
      <c r="A184" s="186"/>
      <c r="B184" s="187"/>
      <c r="C184" s="188" t="s">
        <v>9</v>
      </c>
      <c r="D184" s="182">
        <f>MEDIAN(D120:D181)</f>
        <v>288.5</v>
      </c>
      <c r="E184" s="185"/>
      <c r="F184" s="185"/>
      <c r="G184" s="185"/>
      <c r="H184" s="185"/>
      <c r="I184" s="185"/>
      <c r="J184" s="185"/>
      <c r="K184" s="185"/>
    </row>
    <row r="185" spans="1:11" s="142" customFormat="1" ht="12.75" x14ac:dyDescent="0.2">
      <c r="A185" s="191"/>
      <c r="B185" s="192"/>
      <c r="C185" s="188" t="s">
        <v>30</v>
      </c>
      <c r="D185" s="193"/>
      <c r="E185" s="195">
        <f t="shared" ref="E185:K185" si="14">+E182/E119</f>
        <v>0.83636363636363631</v>
      </c>
      <c r="F185" s="195">
        <f t="shared" si="14"/>
        <v>0.57692307692307687</v>
      </c>
      <c r="G185" s="195">
        <f t="shared" si="14"/>
        <v>0.94545454545454544</v>
      </c>
      <c r="H185" s="195">
        <f t="shared" si="14"/>
        <v>0.72549019607843135</v>
      </c>
      <c r="I185" s="195">
        <f t="shared" si="14"/>
        <v>0.82692307692307687</v>
      </c>
      <c r="J185" s="195">
        <f t="shared" si="14"/>
        <v>0.78</v>
      </c>
      <c r="K185" s="195">
        <f t="shared" si="14"/>
        <v>0.69811320754716977</v>
      </c>
    </row>
    <row r="186" spans="1:11" x14ac:dyDescent="0.25">
      <c r="C186" s="223"/>
    </row>
    <row r="187" spans="1:11" x14ac:dyDescent="0.25">
      <c r="C187" s="223"/>
    </row>
  </sheetData>
  <sheetProtection sheet="1" objects="1" scenarios="1"/>
  <mergeCells count="24">
    <mergeCell ref="A119:C119"/>
    <mergeCell ref="E65:F65"/>
    <mergeCell ref="G65:K65"/>
    <mergeCell ref="A67:C67"/>
    <mergeCell ref="E78:F78"/>
    <mergeCell ref="G78:K78"/>
    <mergeCell ref="A80:C80"/>
    <mergeCell ref="E101:F101"/>
    <mergeCell ref="G101:K101"/>
    <mergeCell ref="A103:C103"/>
    <mergeCell ref="E117:F117"/>
    <mergeCell ref="G117:K117"/>
    <mergeCell ref="A52:C52"/>
    <mergeCell ref="E4:F4"/>
    <mergeCell ref="G4:K4"/>
    <mergeCell ref="B13:D13"/>
    <mergeCell ref="E16:F16"/>
    <mergeCell ref="G16:K16"/>
    <mergeCell ref="A18:C18"/>
    <mergeCell ref="E20:F20"/>
    <mergeCell ref="G20:K20"/>
    <mergeCell ref="A22:C22"/>
    <mergeCell ref="E50:F50"/>
    <mergeCell ref="G50:K50"/>
  </mergeCells>
  <pageMargins left="0.7" right="0.7" top="0.75" bottom="0.75" header="0.3" footer="0.3"/>
  <pageSetup scale="7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7EE7F-CDF2-47D1-B33F-A3F6CC6335A7}">
  <sheetPr>
    <pageSetUpPr fitToPage="1"/>
  </sheetPr>
  <dimension ref="A1:Y189"/>
  <sheetViews>
    <sheetView zoomScaleNormal="100" workbookViewId="0">
      <pane ySplit="19" topLeftCell="A41" activePane="bottomLeft" state="frozen"/>
      <selection pane="bottomLeft" activeCell="G10" sqref="G10"/>
    </sheetView>
  </sheetViews>
  <sheetFormatPr defaultRowHeight="15" x14ac:dyDescent="0.25"/>
  <cols>
    <col min="1" max="1" width="14.7109375" style="4" customWidth="1"/>
    <col min="2" max="2" width="31.85546875" style="4" customWidth="1"/>
    <col min="3" max="3" width="8.85546875" style="4" customWidth="1"/>
    <col min="4" max="4" width="11.140625" style="4" customWidth="1"/>
    <col min="5" max="5" width="11.5703125" style="4" customWidth="1"/>
    <col min="6" max="6" width="13.28515625" style="4" customWidth="1"/>
    <col min="7" max="7" width="12" style="4" customWidth="1"/>
    <col min="8" max="8" width="11.140625" style="4" customWidth="1"/>
    <col min="9" max="9" width="12.7109375" style="4" customWidth="1"/>
    <col min="10" max="10" width="10" style="4" customWidth="1"/>
    <col min="11" max="11" width="11" style="4" customWidth="1"/>
    <col min="12" max="12" width="10.5703125" style="4" customWidth="1"/>
    <col min="13" max="13" width="10.28515625" style="4" customWidth="1"/>
    <col min="14" max="14" width="10.140625" style="4" customWidth="1"/>
    <col min="15" max="16384" width="9.140625" style="4"/>
  </cols>
  <sheetData>
    <row r="1" spans="1:16" s="5" customFormat="1" ht="15.75" x14ac:dyDescent="0.25">
      <c r="A1" s="2" t="s">
        <v>354</v>
      </c>
      <c r="B1" s="3"/>
      <c r="C1" s="4"/>
      <c r="D1" s="4"/>
      <c r="E1" s="4"/>
      <c r="F1" s="4"/>
      <c r="G1" s="4"/>
      <c r="H1" s="4"/>
    </row>
    <row r="2" spans="1:16" s="6" customFormat="1" ht="15.75" x14ac:dyDescent="0.25">
      <c r="A2" s="2" t="s">
        <v>124</v>
      </c>
      <c r="D2" s="7"/>
      <c r="E2" s="7"/>
      <c r="F2" s="8"/>
      <c r="G2" s="7"/>
      <c r="H2" s="7"/>
      <c r="I2" s="7"/>
      <c r="J2" s="7"/>
      <c r="K2" s="9"/>
      <c r="L2" s="10"/>
      <c r="M2" s="7"/>
      <c r="N2" s="7"/>
      <c r="O2" s="11"/>
      <c r="P2" s="7"/>
    </row>
    <row r="3" spans="1:16" s="1" customFormat="1" ht="12.75" x14ac:dyDescent="0.2">
      <c r="A3" s="12" t="s">
        <v>24</v>
      </c>
      <c r="B3" s="6"/>
      <c r="D3" s="13"/>
      <c r="E3" s="13"/>
      <c r="F3" s="13"/>
      <c r="G3" s="13"/>
      <c r="H3" s="13"/>
      <c r="I3" s="11"/>
      <c r="L3" s="13"/>
      <c r="M3" s="13"/>
      <c r="N3" s="13"/>
      <c r="O3" s="13"/>
      <c r="P3" s="11"/>
    </row>
    <row r="4" spans="1:16" s="1" customFormat="1" ht="15.75" x14ac:dyDescent="0.25">
      <c r="B4" s="2"/>
      <c r="D4" s="13"/>
      <c r="E4" s="13"/>
      <c r="F4" s="11"/>
      <c r="G4" s="13"/>
      <c r="H4" s="13"/>
      <c r="I4" s="13"/>
      <c r="J4" s="13"/>
      <c r="L4" s="13"/>
      <c r="M4" s="11"/>
      <c r="N4" s="13"/>
      <c r="O4" s="13"/>
      <c r="P4" s="13"/>
    </row>
    <row r="5" spans="1:16" s="1" customFormat="1" ht="12.75" customHeight="1" x14ac:dyDescent="0.25">
      <c r="A5" s="14" t="s">
        <v>4</v>
      </c>
      <c r="B5" s="15"/>
      <c r="C5" s="16"/>
      <c r="D5" s="17"/>
      <c r="E5" s="18" t="s">
        <v>125</v>
      </c>
      <c r="F5" s="19" t="s">
        <v>126</v>
      </c>
      <c r="G5" s="20" t="s">
        <v>127</v>
      </c>
      <c r="H5" s="21"/>
      <c r="I5" s="21"/>
      <c r="J5" s="22"/>
      <c r="K5" s="23" t="s">
        <v>680</v>
      </c>
      <c r="L5" s="24" t="s">
        <v>128</v>
      </c>
      <c r="M5" s="20" t="s">
        <v>141</v>
      </c>
      <c r="N5" s="25"/>
    </row>
    <row r="6" spans="1:16" s="1" customFormat="1" ht="25.5" customHeight="1" x14ac:dyDescent="0.2">
      <c r="B6" s="26" t="s">
        <v>6</v>
      </c>
      <c r="C6" s="27"/>
      <c r="D6" s="28"/>
      <c r="E6" s="29"/>
      <c r="F6" s="30"/>
      <c r="G6" s="31" t="s">
        <v>129</v>
      </c>
      <c r="H6" s="31" t="s">
        <v>130</v>
      </c>
      <c r="I6" s="31" t="s">
        <v>131</v>
      </c>
      <c r="J6" s="31" t="s">
        <v>132</v>
      </c>
      <c r="K6" s="32"/>
      <c r="L6" s="32"/>
      <c r="M6" s="33" t="s">
        <v>134</v>
      </c>
      <c r="N6" s="33" t="s">
        <v>135</v>
      </c>
    </row>
    <row r="7" spans="1:16" s="1" customFormat="1" x14ac:dyDescent="0.25">
      <c r="B7" s="34" t="s">
        <v>290</v>
      </c>
      <c r="C7" s="35"/>
      <c r="D7" s="36"/>
      <c r="E7" s="37">
        <f>AVERAGE(E25:E45)</f>
        <v>2150.6</v>
      </c>
      <c r="F7" s="38">
        <f t="shared" ref="F7:L7" si="0">+F47</f>
        <v>2.9598128268648498</v>
      </c>
      <c r="G7" s="38">
        <f t="shared" si="0"/>
        <v>10.611111111111111</v>
      </c>
      <c r="H7" s="38">
        <f t="shared" si="0"/>
        <v>230.05555555555554</v>
      </c>
      <c r="I7" s="38">
        <f t="shared" si="0"/>
        <v>238.94117647058823</v>
      </c>
      <c r="J7" s="38">
        <f t="shared" si="0"/>
        <v>455.72222222222223</v>
      </c>
      <c r="K7" s="39">
        <f t="shared" si="0"/>
        <v>0.67056323060573853</v>
      </c>
      <c r="L7" s="40">
        <f t="shared" si="0"/>
        <v>38.63095238095238</v>
      </c>
      <c r="M7" s="41">
        <f>+M49</f>
        <v>0.90476190476190477</v>
      </c>
      <c r="N7" s="41">
        <f>+N49</f>
        <v>0.76190476190476186</v>
      </c>
    </row>
    <row r="8" spans="1:16" s="1" customFormat="1" x14ac:dyDescent="0.25">
      <c r="B8" s="34" t="s">
        <v>668</v>
      </c>
      <c r="C8" s="35"/>
      <c r="D8" s="42"/>
      <c r="E8" s="37">
        <f>AVERAGE(E55:E60)</f>
        <v>972</v>
      </c>
      <c r="F8" s="38">
        <f t="shared" ref="F8:L8" si="1">+F62</f>
        <v>10.020618556701031</v>
      </c>
      <c r="G8" s="38">
        <f t="shared" si="1"/>
        <v>7</v>
      </c>
      <c r="H8" s="38">
        <f t="shared" si="1"/>
        <v>77.166666666666671</v>
      </c>
      <c r="I8" s="38">
        <f t="shared" si="1"/>
        <v>64</v>
      </c>
      <c r="J8" s="38">
        <f t="shared" si="1"/>
        <v>141.33333333333334</v>
      </c>
      <c r="K8" s="39">
        <f t="shared" si="1"/>
        <v>1.0913770913770913</v>
      </c>
      <c r="L8" s="40">
        <f t="shared" si="1"/>
        <v>36.5</v>
      </c>
      <c r="M8" s="41">
        <f>+M64</f>
        <v>0.83333333333333337</v>
      </c>
      <c r="N8" s="41">
        <f>+N64</f>
        <v>0.66666666666666663</v>
      </c>
    </row>
    <row r="9" spans="1:16" s="1" customFormat="1" x14ac:dyDescent="0.25">
      <c r="B9" s="34" t="s">
        <v>669</v>
      </c>
      <c r="C9" s="35"/>
      <c r="D9" s="42"/>
      <c r="E9" s="37">
        <f>AVERAGE(E70:E73)</f>
        <v>1238.5</v>
      </c>
      <c r="F9" s="39">
        <f t="shared" ref="F9:L9" si="2">+F75</f>
        <v>9.3648393194706987</v>
      </c>
      <c r="G9" s="38">
        <f t="shared" si="2"/>
        <v>8.5</v>
      </c>
      <c r="H9" s="38">
        <f t="shared" si="2"/>
        <v>44.25</v>
      </c>
      <c r="I9" s="38">
        <f t="shared" si="2"/>
        <v>40</v>
      </c>
      <c r="J9" s="38">
        <f t="shared" si="2"/>
        <v>84.25</v>
      </c>
      <c r="K9" s="39">
        <f t="shared" si="2"/>
        <v>0.63705103969754251</v>
      </c>
      <c r="L9" s="40">
        <f t="shared" si="2"/>
        <v>37.75</v>
      </c>
      <c r="M9" s="41">
        <f>+M77</f>
        <v>1</v>
      </c>
      <c r="N9" s="41">
        <f>+N77</f>
        <v>1</v>
      </c>
    </row>
    <row r="10" spans="1:16" s="1" customFormat="1" x14ac:dyDescent="0.25">
      <c r="B10" s="34" t="s">
        <v>673</v>
      </c>
      <c r="C10" s="35"/>
      <c r="D10" s="42"/>
      <c r="E10" s="37">
        <f>AVERAGE(E83:E96)</f>
        <v>5087.2857142857147</v>
      </c>
      <c r="F10" s="39">
        <f t="shared" ref="F10:L10" si="3">+F98</f>
        <v>8.7313963466960889</v>
      </c>
      <c r="G10" s="38">
        <f t="shared" si="3"/>
        <v>22.642857142857142</v>
      </c>
      <c r="H10" s="38">
        <f t="shared" si="3"/>
        <v>471.69230769230768</v>
      </c>
      <c r="I10" s="38">
        <f t="shared" si="3"/>
        <v>212.53846153846155</v>
      </c>
      <c r="J10" s="38">
        <f t="shared" si="3"/>
        <v>684.23076923076928</v>
      </c>
      <c r="K10" s="39">
        <f t="shared" si="3"/>
        <v>1.2204994511525795</v>
      </c>
      <c r="L10" s="40">
        <f t="shared" si="3"/>
        <v>37.535714285714285</v>
      </c>
      <c r="M10" s="41">
        <f>+M100</f>
        <v>1</v>
      </c>
      <c r="N10" s="41">
        <f>+N100</f>
        <v>1</v>
      </c>
    </row>
    <row r="11" spans="1:16" s="1" customFormat="1" x14ac:dyDescent="0.25">
      <c r="B11" s="34" t="s">
        <v>671</v>
      </c>
      <c r="C11" s="35"/>
      <c r="D11" s="42"/>
      <c r="E11" s="37">
        <f>AVERAGE(E106:E112)</f>
        <v>3993.8</v>
      </c>
      <c r="F11" s="39">
        <f t="shared" ref="F11:L11" si="4">+F114</f>
        <v>18.353860294117649</v>
      </c>
      <c r="G11" s="38">
        <f t="shared" si="4"/>
        <v>10.5</v>
      </c>
      <c r="H11" s="38">
        <f t="shared" si="4"/>
        <v>171.33333333333334</v>
      </c>
      <c r="I11" s="38">
        <f t="shared" si="4"/>
        <v>53.5</v>
      </c>
      <c r="J11" s="38">
        <f t="shared" si="4"/>
        <v>207</v>
      </c>
      <c r="K11" s="39">
        <f t="shared" si="4"/>
        <v>0.7275922671353251</v>
      </c>
      <c r="L11" s="40">
        <f t="shared" si="4"/>
        <v>32.142857142857146</v>
      </c>
      <c r="M11" s="41">
        <f>+M116</f>
        <v>0.5714285714285714</v>
      </c>
      <c r="N11" s="41">
        <f>+N116</f>
        <v>0.5714285714285714</v>
      </c>
    </row>
    <row r="12" spans="1:16" s="1" customFormat="1" x14ac:dyDescent="0.25">
      <c r="B12" s="34" t="s">
        <v>672</v>
      </c>
      <c r="C12" s="35"/>
      <c r="D12" s="42"/>
      <c r="E12" s="37">
        <f>AVERAGE(E122:E183)</f>
        <v>5687.8076923076924</v>
      </c>
      <c r="F12" s="39">
        <f t="shared" ref="F12:L12" si="5">+F185</f>
        <v>20.593649909483357</v>
      </c>
      <c r="G12" s="38">
        <f t="shared" si="5"/>
        <v>15.64406779661017</v>
      </c>
      <c r="H12" s="38">
        <f t="shared" si="5"/>
        <v>261.79661016949154</v>
      </c>
      <c r="I12" s="38">
        <f t="shared" si="5"/>
        <v>75.74545454545455</v>
      </c>
      <c r="J12" s="38">
        <f t="shared" si="5"/>
        <v>332.40677966101697</v>
      </c>
      <c r="K12" s="39">
        <f t="shared" si="5"/>
        <v>1.2947778437974515</v>
      </c>
      <c r="L12" s="40">
        <f t="shared" si="5"/>
        <v>33.893442622950822</v>
      </c>
      <c r="M12" s="41">
        <f>+M187</f>
        <v>0.54098360655737709</v>
      </c>
      <c r="N12" s="41">
        <f>+N187</f>
        <v>0.55737704918032782</v>
      </c>
    </row>
    <row r="13" spans="1:16" s="14" customFormat="1" ht="12.75" x14ac:dyDescent="0.2">
      <c r="B13" s="43" t="s">
        <v>674</v>
      </c>
      <c r="C13" s="44"/>
      <c r="D13" s="45"/>
      <c r="E13" s="46">
        <f>+E14/E19</f>
        <v>4631.673913043478</v>
      </c>
      <c r="F13" s="47">
        <v>12</v>
      </c>
      <c r="G13" s="48">
        <f>+G14/G19</f>
        <v>14.672897196261681</v>
      </c>
      <c r="H13" s="48">
        <f>+H14/H19</f>
        <v>258.3679245283019</v>
      </c>
      <c r="I13" s="48">
        <f>+I14/I19</f>
        <v>118.67676767676768</v>
      </c>
      <c r="J13" s="48">
        <f>+J14/J19</f>
        <v>355.79090909090911</v>
      </c>
      <c r="K13" s="48">
        <v>1.0386</v>
      </c>
      <c r="L13" s="48">
        <f>+L14/L19</f>
        <v>35.391592920353979</v>
      </c>
      <c r="M13" s="49">
        <f>+(M46+M61+M74+M97+M113+M184)/M19</f>
        <v>0.69911504424778759</v>
      </c>
      <c r="N13" s="49">
        <f>+(N46+N61+N74+N97+N113+N184)/N19</f>
        <v>0.67256637168141598</v>
      </c>
    </row>
    <row r="14" spans="1:16" s="1" customFormat="1" x14ac:dyDescent="0.25">
      <c r="B14" s="50" t="s">
        <v>353</v>
      </c>
      <c r="C14" s="51"/>
      <c r="D14" s="51"/>
      <c r="E14" s="52">
        <f>SUM(E46,E61,E74,E97,E113,E184)</f>
        <v>426114</v>
      </c>
      <c r="F14" s="53"/>
      <c r="G14" s="52">
        <f>+G184+G113+G97+G74+G61+G46</f>
        <v>1570</v>
      </c>
      <c r="H14" s="52">
        <f>+H46+H61+H74+H97+H113+H184</f>
        <v>27387</v>
      </c>
      <c r="I14" s="52">
        <f>+I184+I113+I97+I74+I61+I46</f>
        <v>11749</v>
      </c>
      <c r="J14" s="52">
        <f>+J46+J61+J74+J97+J113+J184</f>
        <v>39137</v>
      </c>
      <c r="K14" s="54"/>
      <c r="L14" s="55">
        <f>+L46+L61+L74+L97+L113+L184</f>
        <v>3999.25</v>
      </c>
      <c r="M14" s="56"/>
      <c r="N14" s="53"/>
    </row>
    <row r="15" spans="1:16" s="1" customFormat="1" ht="12.75" x14ac:dyDescent="0.2">
      <c r="B15" s="57"/>
      <c r="C15" s="58"/>
      <c r="D15" s="59"/>
      <c r="E15" s="60"/>
      <c r="F15" s="61"/>
      <c r="G15" s="60"/>
      <c r="H15" s="60"/>
      <c r="I15" s="60"/>
      <c r="J15" s="60"/>
      <c r="K15" s="61"/>
      <c r="L15" s="62"/>
      <c r="M15" s="63"/>
      <c r="N15" s="63"/>
      <c r="O15" s="63"/>
      <c r="P15" s="63"/>
    </row>
    <row r="16" spans="1:16" s="1" customFormat="1" ht="12.75" x14ac:dyDescent="0.2">
      <c r="A16" s="14" t="s">
        <v>10</v>
      </c>
      <c r="E16" s="13"/>
    </row>
    <row r="17" spans="1:14" s="74" customFormat="1" ht="12.75" customHeight="1" x14ac:dyDescent="0.25">
      <c r="A17" s="64"/>
      <c r="B17" s="65"/>
      <c r="C17" s="64"/>
      <c r="D17" s="66"/>
      <c r="E17" s="67" t="s">
        <v>136</v>
      </c>
      <c r="F17" s="68" t="s">
        <v>126</v>
      </c>
      <c r="G17" s="69" t="s">
        <v>137</v>
      </c>
      <c r="H17" s="70"/>
      <c r="I17" s="70"/>
      <c r="J17" s="70"/>
      <c r="K17" s="71"/>
      <c r="L17" s="72" t="s">
        <v>138</v>
      </c>
      <c r="M17" s="69" t="s">
        <v>140</v>
      </c>
      <c r="N17" s="73"/>
    </row>
    <row r="18" spans="1:14" s="74" customFormat="1" ht="38.25" x14ac:dyDescent="0.2">
      <c r="A18" s="75" t="s">
        <v>11</v>
      </c>
      <c r="B18" s="75" t="s">
        <v>12</v>
      </c>
      <c r="C18" s="75" t="s">
        <v>2</v>
      </c>
      <c r="D18" s="76" t="s">
        <v>5</v>
      </c>
      <c r="E18" s="77"/>
      <c r="F18" s="78"/>
      <c r="G18" s="79" t="s">
        <v>129</v>
      </c>
      <c r="H18" s="79" t="s">
        <v>130</v>
      </c>
      <c r="I18" s="79" t="s">
        <v>131</v>
      </c>
      <c r="J18" s="79" t="s">
        <v>139</v>
      </c>
      <c r="K18" s="80" t="s">
        <v>133</v>
      </c>
      <c r="L18" s="81"/>
      <c r="M18" s="82" t="s">
        <v>134</v>
      </c>
      <c r="N18" s="82" t="s">
        <v>135</v>
      </c>
    </row>
    <row r="19" spans="1:14" s="74" customFormat="1" x14ac:dyDescent="0.25">
      <c r="A19" s="83" t="s">
        <v>41</v>
      </c>
      <c r="B19" s="84"/>
      <c r="C19" s="85"/>
      <c r="D19" s="86">
        <v>114</v>
      </c>
      <c r="E19" s="86">
        <f t="shared" ref="E19:N19" si="6">+E24+E54+E69+E82+E105+E121</f>
        <v>92</v>
      </c>
      <c r="F19" s="86">
        <f t="shared" si="6"/>
        <v>92</v>
      </c>
      <c r="G19" s="86">
        <f t="shared" si="6"/>
        <v>107</v>
      </c>
      <c r="H19" s="86">
        <f t="shared" si="6"/>
        <v>106</v>
      </c>
      <c r="I19" s="86">
        <f t="shared" si="6"/>
        <v>99</v>
      </c>
      <c r="J19" s="86">
        <f t="shared" si="6"/>
        <v>110</v>
      </c>
      <c r="K19" s="86">
        <f t="shared" si="6"/>
        <v>108</v>
      </c>
      <c r="L19" s="86">
        <f t="shared" si="6"/>
        <v>113</v>
      </c>
      <c r="M19" s="86">
        <f t="shared" si="6"/>
        <v>113</v>
      </c>
      <c r="N19" s="86">
        <f t="shared" si="6"/>
        <v>113</v>
      </c>
    </row>
    <row r="20" spans="1:14" s="1" customFormat="1" ht="12.75" x14ac:dyDescent="0.2">
      <c r="B20" s="87"/>
      <c r="C20" s="88"/>
      <c r="D20" s="88"/>
      <c r="G20" s="6"/>
      <c r="H20" s="6"/>
      <c r="I20" s="6"/>
      <c r="J20" s="6" t="s">
        <v>227</v>
      </c>
      <c r="K20" s="6"/>
      <c r="L20" s="6"/>
      <c r="M20" s="6"/>
      <c r="N20" s="6"/>
    </row>
    <row r="21" spans="1:14" s="1" customFormat="1" ht="12.75" x14ac:dyDescent="0.2">
      <c r="B21" s="87"/>
      <c r="C21" s="88"/>
      <c r="D21" s="88"/>
      <c r="G21" s="6"/>
      <c r="H21" s="6"/>
      <c r="I21" s="6"/>
      <c r="J21" s="6"/>
      <c r="K21" s="6"/>
      <c r="L21" s="6"/>
      <c r="M21" s="6"/>
      <c r="N21" s="6"/>
    </row>
    <row r="22" spans="1:14" s="74" customFormat="1" ht="12.75" customHeight="1" x14ac:dyDescent="0.25">
      <c r="A22" s="89" t="s">
        <v>290</v>
      </c>
      <c r="B22" s="90"/>
      <c r="C22" s="91"/>
      <c r="D22" s="92"/>
      <c r="E22" s="93" t="s">
        <v>136</v>
      </c>
      <c r="F22" s="94" t="s">
        <v>126</v>
      </c>
      <c r="G22" s="95" t="s">
        <v>137</v>
      </c>
      <c r="H22" s="96"/>
      <c r="I22" s="96"/>
      <c r="J22" s="96"/>
      <c r="K22" s="97"/>
      <c r="L22" s="98" t="s">
        <v>138</v>
      </c>
      <c r="M22" s="95" t="s">
        <v>140</v>
      </c>
      <c r="N22" s="99"/>
    </row>
    <row r="23" spans="1:14" s="74" customFormat="1" ht="45" x14ac:dyDescent="0.25">
      <c r="A23" s="100" t="s">
        <v>11</v>
      </c>
      <c r="B23" s="101" t="s">
        <v>12</v>
      </c>
      <c r="C23" s="100" t="s">
        <v>2</v>
      </c>
      <c r="D23" s="102" t="s">
        <v>5</v>
      </c>
      <c r="E23" s="103"/>
      <c r="F23" s="104"/>
      <c r="G23" s="105" t="s">
        <v>129</v>
      </c>
      <c r="H23" s="105" t="s">
        <v>130</v>
      </c>
      <c r="I23" s="105" t="s">
        <v>131</v>
      </c>
      <c r="J23" s="105" t="s">
        <v>139</v>
      </c>
      <c r="K23" s="106" t="s">
        <v>133</v>
      </c>
      <c r="L23" s="107"/>
      <c r="M23" s="108" t="s">
        <v>134</v>
      </c>
      <c r="N23" s="108" t="s">
        <v>135</v>
      </c>
    </row>
    <row r="24" spans="1:14" s="74" customFormat="1" x14ac:dyDescent="0.25">
      <c r="A24" s="109" t="s">
        <v>123</v>
      </c>
      <c r="B24" s="110"/>
      <c r="C24" s="111"/>
      <c r="D24" s="112">
        <v>21</v>
      </c>
      <c r="E24" s="112">
        <v>15</v>
      </c>
      <c r="F24" s="112">
        <v>15</v>
      </c>
      <c r="G24" s="112">
        <v>18</v>
      </c>
      <c r="H24" s="112">
        <v>18</v>
      </c>
      <c r="I24" s="112">
        <v>17</v>
      </c>
      <c r="J24" s="112">
        <v>19</v>
      </c>
      <c r="K24" s="112">
        <v>19</v>
      </c>
      <c r="L24" s="112">
        <v>21</v>
      </c>
      <c r="M24" s="112">
        <v>21</v>
      </c>
      <c r="N24" s="112">
        <v>21</v>
      </c>
    </row>
    <row r="25" spans="1:14" x14ac:dyDescent="0.25">
      <c r="A25" s="113" t="s">
        <v>361</v>
      </c>
      <c r="B25" s="113" t="s">
        <v>253</v>
      </c>
      <c r="C25" s="114" t="s">
        <v>209</v>
      </c>
      <c r="D25" s="115">
        <v>1092</v>
      </c>
      <c r="E25" s="116">
        <v>550</v>
      </c>
      <c r="F25" s="117">
        <f t="shared" ref="F25:F32" si="7">+E25/D25</f>
        <v>0.50366300366300365</v>
      </c>
      <c r="G25" s="118">
        <v>5</v>
      </c>
      <c r="H25" s="118">
        <v>110</v>
      </c>
      <c r="I25" s="118">
        <v>35</v>
      </c>
      <c r="J25" s="118">
        <v>145</v>
      </c>
      <c r="K25" s="117">
        <f t="shared" ref="K25:K34" si="8">+J25/D25</f>
        <v>0.13278388278388278</v>
      </c>
      <c r="L25" s="119">
        <v>42.5</v>
      </c>
      <c r="M25" s="120" t="s">
        <v>224</v>
      </c>
      <c r="N25" s="120" t="s">
        <v>224</v>
      </c>
    </row>
    <row r="26" spans="1:14" x14ac:dyDescent="0.25">
      <c r="A26" s="113" t="s">
        <v>163</v>
      </c>
      <c r="B26" s="113" t="s">
        <v>162</v>
      </c>
      <c r="C26" s="114" t="s">
        <v>209</v>
      </c>
      <c r="D26" s="115">
        <v>220</v>
      </c>
      <c r="E26" s="116">
        <v>923</v>
      </c>
      <c r="F26" s="121">
        <f t="shared" si="7"/>
        <v>4.1954545454545453</v>
      </c>
      <c r="G26" s="118">
        <v>12</v>
      </c>
      <c r="H26" s="118">
        <v>192</v>
      </c>
      <c r="I26" s="118">
        <v>90</v>
      </c>
      <c r="J26" s="118">
        <v>282</v>
      </c>
      <c r="K26" s="121">
        <f t="shared" si="8"/>
        <v>1.2818181818181817</v>
      </c>
      <c r="L26" s="119">
        <v>35</v>
      </c>
      <c r="M26" s="120" t="s">
        <v>224</v>
      </c>
      <c r="N26" s="120" t="s">
        <v>224</v>
      </c>
    </row>
    <row r="27" spans="1:14" x14ac:dyDescent="0.25">
      <c r="A27" s="113" t="s">
        <v>156</v>
      </c>
      <c r="B27" s="113" t="s">
        <v>236</v>
      </c>
      <c r="C27" s="114" t="s">
        <v>209</v>
      </c>
      <c r="D27" s="115">
        <v>153</v>
      </c>
      <c r="E27" s="116">
        <v>1646</v>
      </c>
      <c r="F27" s="121">
        <f t="shared" si="7"/>
        <v>10.758169934640524</v>
      </c>
      <c r="G27" s="118">
        <v>5</v>
      </c>
      <c r="H27" s="118">
        <v>90</v>
      </c>
      <c r="I27" s="118">
        <v>20</v>
      </c>
      <c r="J27" s="118">
        <v>110</v>
      </c>
      <c r="K27" s="121">
        <f t="shared" si="8"/>
        <v>0.71895424836601307</v>
      </c>
      <c r="L27" s="119">
        <v>45</v>
      </c>
      <c r="M27" s="120" t="s">
        <v>224</v>
      </c>
      <c r="N27" s="120" t="s">
        <v>224</v>
      </c>
    </row>
    <row r="28" spans="1:14" x14ac:dyDescent="0.25">
      <c r="A28" s="113" t="s">
        <v>362</v>
      </c>
      <c r="B28" s="113" t="s">
        <v>145</v>
      </c>
      <c r="C28" s="114" t="s">
        <v>209</v>
      </c>
      <c r="D28" s="115">
        <v>1152</v>
      </c>
      <c r="E28" s="116">
        <v>4886</v>
      </c>
      <c r="F28" s="121">
        <f t="shared" si="7"/>
        <v>4.2413194444444446</v>
      </c>
      <c r="G28" s="118">
        <v>20</v>
      </c>
      <c r="H28" s="118">
        <v>560</v>
      </c>
      <c r="I28" s="118">
        <v>390</v>
      </c>
      <c r="J28" s="118">
        <v>950</v>
      </c>
      <c r="K28" s="121">
        <f t="shared" si="8"/>
        <v>0.82465277777777779</v>
      </c>
      <c r="L28" s="119">
        <v>41.25</v>
      </c>
      <c r="M28" s="120" t="s">
        <v>224</v>
      </c>
      <c r="N28" s="120" t="s">
        <v>224</v>
      </c>
    </row>
    <row r="29" spans="1:14" x14ac:dyDescent="0.25">
      <c r="A29" s="113" t="s">
        <v>362</v>
      </c>
      <c r="B29" s="113" t="s">
        <v>176</v>
      </c>
      <c r="C29" s="114" t="s">
        <v>209</v>
      </c>
      <c r="D29" s="115">
        <v>147</v>
      </c>
      <c r="E29" s="116">
        <v>726</v>
      </c>
      <c r="F29" s="121">
        <f t="shared" si="7"/>
        <v>4.9387755102040813</v>
      </c>
      <c r="G29" s="118">
        <v>2</v>
      </c>
      <c r="H29" s="118">
        <v>36</v>
      </c>
      <c r="I29" s="118">
        <v>100</v>
      </c>
      <c r="J29" s="118">
        <v>136</v>
      </c>
      <c r="K29" s="121">
        <f t="shared" si="8"/>
        <v>0.92517006802721091</v>
      </c>
      <c r="L29" s="119">
        <v>40</v>
      </c>
      <c r="M29" s="120" t="s">
        <v>224</v>
      </c>
      <c r="N29" s="120"/>
    </row>
    <row r="30" spans="1:14" x14ac:dyDescent="0.25">
      <c r="A30" s="113" t="s">
        <v>363</v>
      </c>
      <c r="B30" s="113" t="s">
        <v>355</v>
      </c>
      <c r="C30" s="114" t="s">
        <v>209</v>
      </c>
      <c r="D30" s="115">
        <v>422</v>
      </c>
      <c r="E30" s="116">
        <v>969</v>
      </c>
      <c r="F30" s="121">
        <f t="shared" si="7"/>
        <v>2.296208530805687</v>
      </c>
      <c r="G30" s="118">
        <v>3</v>
      </c>
      <c r="H30" s="118">
        <v>21</v>
      </c>
      <c r="I30" s="122" t="s">
        <v>233</v>
      </c>
      <c r="J30" s="118">
        <v>21</v>
      </c>
      <c r="K30" s="121">
        <f>+J30/D30</f>
        <v>4.9763033175355451E-2</v>
      </c>
      <c r="L30" s="119">
        <v>38</v>
      </c>
      <c r="M30" s="120" t="s">
        <v>224</v>
      </c>
      <c r="N30" s="120" t="s">
        <v>224</v>
      </c>
    </row>
    <row r="31" spans="1:14" x14ac:dyDescent="0.25">
      <c r="A31" s="113" t="s">
        <v>148</v>
      </c>
      <c r="B31" s="113" t="s">
        <v>152</v>
      </c>
      <c r="C31" s="114" t="s">
        <v>209</v>
      </c>
      <c r="D31" s="115">
        <v>1557</v>
      </c>
      <c r="E31" s="116">
        <v>4481</v>
      </c>
      <c r="F31" s="121">
        <f t="shared" si="7"/>
        <v>2.877970456005138</v>
      </c>
      <c r="G31" s="118">
        <v>12</v>
      </c>
      <c r="H31" s="118">
        <v>300</v>
      </c>
      <c r="I31" s="118">
        <v>479</v>
      </c>
      <c r="J31" s="118">
        <v>779</v>
      </c>
      <c r="K31" s="121">
        <f>+J31/D31</f>
        <v>0.50032113037893389</v>
      </c>
      <c r="L31" s="119">
        <v>39</v>
      </c>
      <c r="M31" s="120" t="s">
        <v>224</v>
      </c>
      <c r="N31" s="120" t="s">
        <v>224</v>
      </c>
    </row>
    <row r="32" spans="1:14" x14ac:dyDescent="0.25">
      <c r="A32" s="113" t="s">
        <v>148</v>
      </c>
      <c r="B32" s="113" t="s">
        <v>170</v>
      </c>
      <c r="C32" s="114" t="s">
        <v>209</v>
      </c>
      <c r="D32" s="115">
        <v>1228</v>
      </c>
      <c r="E32" s="116">
        <v>5748</v>
      </c>
      <c r="F32" s="117">
        <f t="shared" si="7"/>
        <v>4.6807817589576546</v>
      </c>
      <c r="G32" s="118">
        <v>12</v>
      </c>
      <c r="H32" s="118">
        <v>300</v>
      </c>
      <c r="I32" s="118">
        <v>500</v>
      </c>
      <c r="J32" s="118">
        <v>800</v>
      </c>
      <c r="K32" s="117">
        <f t="shared" si="8"/>
        <v>0.65146579804560256</v>
      </c>
      <c r="L32" s="119">
        <v>42.5</v>
      </c>
      <c r="M32" s="120" t="s">
        <v>224</v>
      </c>
      <c r="N32" s="120" t="s">
        <v>224</v>
      </c>
    </row>
    <row r="33" spans="1:20" x14ac:dyDescent="0.25">
      <c r="A33" s="113" t="s">
        <v>148</v>
      </c>
      <c r="B33" s="113" t="s">
        <v>291</v>
      </c>
      <c r="C33" s="114" t="s">
        <v>209</v>
      </c>
      <c r="D33" s="115">
        <v>175</v>
      </c>
      <c r="E33" s="116">
        <v>933</v>
      </c>
      <c r="F33" s="117">
        <f>E33/D33</f>
        <v>5.3314285714285718</v>
      </c>
      <c r="G33" s="118">
        <v>8</v>
      </c>
      <c r="H33" s="118">
        <v>84</v>
      </c>
      <c r="I33" s="118">
        <v>248</v>
      </c>
      <c r="J33" s="118">
        <v>332</v>
      </c>
      <c r="K33" s="117">
        <f t="shared" si="8"/>
        <v>1.8971428571428572</v>
      </c>
      <c r="L33" s="119">
        <v>37.5</v>
      </c>
      <c r="M33" s="120" t="s">
        <v>224</v>
      </c>
      <c r="N33" s="120" t="s">
        <v>224</v>
      </c>
    </row>
    <row r="34" spans="1:20" x14ac:dyDescent="0.25">
      <c r="A34" s="113" t="s">
        <v>178</v>
      </c>
      <c r="B34" s="113" t="s">
        <v>206</v>
      </c>
      <c r="C34" s="114" t="s">
        <v>209</v>
      </c>
      <c r="D34" s="115">
        <v>862</v>
      </c>
      <c r="E34" s="123" t="s">
        <v>233</v>
      </c>
      <c r="F34" s="124" t="s">
        <v>233</v>
      </c>
      <c r="G34" s="125" t="s">
        <v>233</v>
      </c>
      <c r="H34" s="118">
        <v>30</v>
      </c>
      <c r="I34" s="118">
        <v>60</v>
      </c>
      <c r="J34" s="118">
        <v>90</v>
      </c>
      <c r="K34" s="117">
        <f t="shared" si="8"/>
        <v>0.10440835266821345</v>
      </c>
      <c r="L34" s="119">
        <v>35</v>
      </c>
      <c r="M34" s="120" t="s">
        <v>224</v>
      </c>
      <c r="N34" s="120"/>
    </row>
    <row r="35" spans="1:20" x14ac:dyDescent="0.25">
      <c r="A35" s="113" t="s">
        <v>364</v>
      </c>
      <c r="B35" s="113" t="s">
        <v>356</v>
      </c>
      <c r="C35" s="114" t="s">
        <v>209</v>
      </c>
      <c r="D35" s="115">
        <v>2017</v>
      </c>
      <c r="E35" s="116">
        <v>6437</v>
      </c>
      <c r="F35" s="117">
        <f>E35/D35</f>
        <v>3.1913733267228559</v>
      </c>
      <c r="G35" s="118">
        <v>24</v>
      </c>
      <c r="H35" s="118">
        <v>720</v>
      </c>
      <c r="I35" s="118">
        <v>595</v>
      </c>
      <c r="J35" s="118">
        <v>1315</v>
      </c>
      <c r="K35" s="117">
        <f>+J35/D35</f>
        <v>0.65195835399107582</v>
      </c>
      <c r="L35" s="119">
        <v>45</v>
      </c>
      <c r="M35" s="120" t="s">
        <v>224</v>
      </c>
      <c r="N35" s="120" t="s">
        <v>224</v>
      </c>
    </row>
    <row r="36" spans="1:20" x14ac:dyDescent="0.25">
      <c r="A36" s="113" t="s">
        <v>364</v>
      </c>
      <c r="B36" s="113" t="s">
        <v>237</v>
      </c>
      <c r="C36" s="114" t="s">
        <v>209</v>
      </c>
      <c r="D36" s="115">
        <v>235</v>
      </c>
      <c r="E36" s="123" t="s">
        <v>233</v>
      </c>
      <c r="F36" s="124" t="s">
        <v>233</v>
      </c>
      <c r="G36" s="118">
        <v>1</v>
      </c>
      <c r="H36" s="118">
        <v>8</v>
      </c>
      <c r="I36" s="118">
        <v>200</v>
      </c>
      <c r="J36" s="118">
        <v>208</v>
      </c>
      <c r="K36" s="117">
        <f t="shared" ref="K36:K40" si="9">+J36/D36</f>
        <v>0.88510638297872335</v>
      </c>
      <c r="L36" s="119">
        <v>35</v>
      </c>
      <c r="M36" s="120"/>
      <c r="N36" s="120" t="s">
        <v>224</v>
      </c>
    </row>
    <row r="37" spans="1:20" x14ac:dyDescent="0.25">
      <c r="A37" s="113" t="s">
        <v>149</v>
      </c>
      <c r="B37" s="113" t="s">
        <v>238</v>
      </c>
      <c r="C37" s="114" t="s">
        <v>209</v>
      </c>
      <c r="D37" s="115">
        <v>612</v>
      </c>
      <c r="E37" s="116">
        <v>1330</v>
      </c>
      <c r="F37" s="117">
        <f>+E37/D37</f>
        <v>2.1732026143790848</v>
      </c>
      <c r="G37" s="118">
        <v>25</v>
      </c>
      <c r="H37" s="118">
        <v>400</v>
      </c>
      <c r="I37" s="118">
        <v>350</v>
      </c>
      <c r="J37" s="118">
        <v>750</v>
      </c>
      <c r="K37" s="117">
        <f t="shared" si="9"/>
        <v>1.2254901960784315</v>
      </c>
      <c r="L37" s="119">
        <v>38</v>
      </c>
      <c r="M37" s="120" t="s">
        <v>224</v>
      </c>
      <c r="N37" s="120" t="s">
        <v>224</v>
      </c>
    </row>
    <row r="38" spans="1:20" x14ac:dyDescent="0.25">
      <c r="A38" s="113" t="s">
        <v>181</v>
      </c>
      <c r="B38" s="113" t="s">
        <v>208</v>
      </c>
      <c r="C38" s="114" t="s">
        <v>209</v>
      </c>
      <c r="D38" s="115">
        <v>274</v>
      </c>
      <c r="E38" s="123" t="s">
        <v>233</v>
      </c>
      <c r="F38" s="124" t="s">
        <v>233</v>
      </c>
      <c r="G38" s="125" t="s">
        <v>233</v>
      </c>
      <c r="H38" s="125" t="s">
        <v>233</v>
      </c>
      <c r="I38" s="122" t="s">
        <v>233</v>
      </c>
      <c r="J38" s="125" t="s">
        <v>233</v>
      </c>
      <c r="K38" s="124" t="s">
        <v>233</v>
      </c>
      <c r="L38" s="119">
        <v>27.5</v>
      </c>
      <c r="M38" s="120" t="s">
        <v>224</v>
      </c>
      <c r="N38" s="120"/>
    </row>
    <row r="39" spans="1:20" x14ac:dyDescent="0.25">
      <c r="A39" s="113" t="s">
        <v>143</v>
      </c>
      <c r="B39" s="113" t="s">
        <v>142</v>
      </c>
      <c r="C39" s="114" t="s">
        <v>209</v>
      </c>
      <c r="D39" s="115">
        <v>151</v>
      </c>
      <c r="E39" s="116">
        <v>195</v>
      </c>
      <c r="F39" s="117">
        <f t="shared" ref="F39:F44" si="10">+E39/D39</f>
        <v>1.2913907284768211</v>
      </c>
      <c r="G39" s="118">
        <v>2</v>
      </c>
      <c r="H39" s="118">
        <v>15</v>
      </c>
      <c r="I39" s="118">
        <v>10</v>
      </c>
      <c r="J39" s="118">
        <v>25</v>
      </c>
      <c r="K39" s="117">
        <f t="shared" si="9"/>
        <v>0.16556291390728478</v>
      </c>
      <c r="L39" s="119">
        <v>25</v>
      </c>
      <c r="M39" s="120"/>
      <c r="N39" s="120"/>
      <c r="P39" s="4" t="s">
        <v>227</v>
      </c>
    </row>
    <row r="40" spans="1:20" x14ac:dyDescent="0.25">
      <c r="A40" s="113" t="s">
        <v>365</v>
      </c>
      <c r="B40" s="113" t="s">
        <v>158</v>
      </c>
      <c r="C40" s="114" t="s">
        <v>209</v>
      </c>
      <c r="D40" s="115">
        <v>794</v>
      </c>
      <c r="E40" s="116">
        <v>1278</v>
      </c>
      <c r="F40" s="117">
        <f t="shared" si="10"/>
        <v>1.6095717884130982</v>
      </c>
      <c r="G40" s="118">
        <v>30</v>
      </c>
      <c r="H40" s="118">
        <v>700</v>
      </c>
      <c r="I40" s="118">
        <v>500</v>
      </c>
      <c r="J40" s="118">
        <v>1200</v>
      </c>
      <c r="K40" s="117">
        <f t="shared" si="9"/>
        <v>1.5113350125944585</v>
      </c>
      <c r="L40" s="119">
        <v>45</v>
      </c>
      <c r="M40" s="120" t="s">
        <v>224</v>
      </c>
      <c r="N40" s="120" t="s">
        <v>224</v>
      </c>
    </row>
    <row r="41" spans="1:20" x14ac:dyDescent="0.25">
      <c r="A41" s="113" t="s">
        <v>365</v>
      </c>
      <c r="B41" s="113" t="s">
        <v>357</v>
      </c>
      <c r="C41" s="114" t="s">
        <v>209</v>
      </c>
      <c r="D41" s="115">
        <v>46</v>
      </c>
      <c r="E41" s="123" t="s">
        <v>233</v>
      </c>
      <c r="F41" s="124" t="s">
        <v>233</v>
      </c>
      <c r="G41" s="125" t="s">
        <v>233</v>
      </c>
      <c r="H41" s="125" t="s">
        <v>233</v>
      </c>
      <c r="I41" s="126" t="s">
        <v>233</v>
      </c>
      <c r="J41" s="125" t="s">
        <v>233</v>
      </c>
      <c r="K41" s="124" t="s">
        <v>233</v>
      </c>
      <c r="L41" s="119">
        <v>46</v>
      </c>
      <c r="M41" s="120" t="s">
        <v>224</v>
      </c>
      <c r="N41" s="120" t="s">
        <v>224</v>
      </c>
    </row>
    <row r="42" spans="1:20" x14ac:dyDescent="0.25">
      <c r="A42" s="113" t="s">
        <v>153</v>
      </c>
      <c r="B42" s="113" t="s">
        <v>235</v>
      </c>
      <c r="C42" s="114" t="s">
        <v>209</v>
      </c>
      <c r="D42" s="115">
        <v>774</v>
      </c>
      <c r="E42" s="116">
        <v>1448</v>
      </c>
      <c r="F42" s="117">
        <f t="shared" si="10"/>
        <v>1.8708010335917313</v>
      </c>
      <c r="G42" s="118">
        <v>15</v>
      </c>
      <c r="H42" s="118">
        <v>375</v>
      </c>
      <c r="I42" s="118">
        <v>210</v>
      </c>
      <c r="J42" s="118">
        <v>585</v>
      </c>
      <c r="K42" s="117">
        <f>J42/D42</f>
        <v>0.7558139534883721</v>
      </c>
      <c r="L42" s="119">
        <v>45</v>
      </c>
      <c r="M42" s="120" t="s">
        <v>224</v>
      </c>
      <c r="N42" s="120" t="s">
        <v>224</v>
      </c>
    </row>
    <row r="43" spans="1:20" x14ac:dyDescent="0.25">
      <c r="A43" s="113" t="s">
        <v>198</v>
      </c>
      <c r="B43" s="113" t="s">
        <v>358</v>
      </c>
      <c r="C43" s="114" t="s">
        <v>209</v>
      </c>
      <c r="D43" s="115">
        <v>230</v>
      </c>
      <c r="E43" s="123" t="s">
        <v>233</v>
      </c>
      <c r="F43" s="124" t="s">
        <v>233</v>
      </c>
      <c r="G43" s="118">
        <v>6</v>
      </c>
      <c r="H43" s="125" t="s">
        <v>233</v>
      </c>
      <c r="I43" s="122" t="s">
        <v>233</v>
      </c>
      <c r="J43" s="122" t="s">
        <v>233</v>
      </c>
      <c r="K43" s="124" t="s">
        <v>233</v>
      </c>
      <c r="L43" s="119">
        <v>29</v>
      </c>
      <c r="M43" s="120" t="s">
        <v>224</v>
      </c>
      <c r="N43" s="120"/>
    </row>
    <row r="44" spans="1:20" x14ac:dyDescent="0.25">
      <c r="A44" s="113" t="s">
        <v>174</v>
      </c>
      <c r="B44" s="113" t="s">
        <v>359</v>
      </c>
      <c r="C44" s="127" t="s">
        <v>209</v>
      </c>
      <c r="D44" s="115">
        <v>405</v>
      </c>
      <c r="E44" s="116">
        <v>709</v>
      </c>
      <c r="F44" s="117">
        <f t="shared" si="10"/>
        <v>1.7506172839506173</v>
      </c>
      <c r="G44" s="118">
        <v>3</v>
      </c>
      <c r="H44" s="118">
        <v>100</v>
      </c>
      <c r="I44" s="118">
        <v>200</v>
      </c>
      <c r="J44" s="118">
        <v>300</v>
      </c>
      <c r="K44" s="117">
        <f t="shared" ref="K44:K45" si="11">+J44/D44</f>
        <v>0.7407407407407407</v>
      </c>
      <c r="L44" s="119">
        <v>40</v>
      </c>
      <c r="M44" s="120" t="s">
        <v>224</v>
      </c>
      <c r="N44" s="120" t="s">
        <v>224</v>
      </c>
    </row>
    <row r="45" spans="1:20" x14ac:dyDescent="0.25">
      <c r="A45" s="113" t="s">
        <v>366</v>
      </c>
      <c r="B45" s="113" t="s">
        <v>360</v>
      </c>
      <c r="C45" s="127" t="s">
        <v>209</v>
      </c>
      <c r="D45" s="115">
        <v>237</v>
      </c>
      <c r="E45" s="123" t="s">
        <v>233</v>
      </c>
      <c r="F45" s="124" t="s">
        <v>233</v>
      </c>
      <c r="G45" s="118">
        <v>6</v>
      </c>
      <c r="H45" s="118">
        <v>100</v>
      </c>
      <c r="I45" s="118">
        <v>75</v>
      </c>
      <c r="J45" s="118">
        <v>175</v>
      </c>
      <c r="K45" s="117">
        <f t="shared" si="11"/>
        <v>0.73839662447257381</v>
      </c>
      <c r="L45" s="119">
        <v>40</v>
      </c>
      <c r="M45" s="120" t="s">
        <v>224</v>
      </c>
      <c r="N45" s="120" t="s">
        <v>224</v>
      </c>
    </row>
    <row r="46" spans="1:20" s="136" customFormat="1" x14ac:dyDescent="0.25">
      <c r="A46" s="128"/>
      <c r="B46" s="129"/>
      <c r="C46" s="90" t="s">
        <v>7</v>
      </c>
      <c r="D46" s="130">
        <f>SUM(D25:D45)</f>
        <v>12783</v>
      </c>
      <c r="E46" s="131">
        <f>SUM(E25:E45)</f>
        <v>32259</v>
      </c>
      <c r="F46" s="130"/>
      <c r="G46" s="130">
        <f>SUM(G25:G45)</f>
        <v>191</v>
      </c>
      <c r="H46" s="130">
        <f>SUM(H25:H45)</f>
        <v>4141</v>
      </c>
      <c r="I46" s="130">
        <f>SUM(I25:I45)</f>
        <v>4062</v>
      </c>
      <c r="J46" s="130">
        <f>SUM(J25:J45)</f>
        <v>8203</v>
      </c>
      <c r="K46" s="132" t="s">
        <v>227</v>
      </c>
      <c r="L46" s="133">
        <f>SUM(L25:L45)</f>
        <v>811.25</v>
      </c>
      <c r="M46" s="134">
        <v>19</v>
      </c>
      <c r="N46" s="135">
        <v>16</v>
      </c>
      <c r="Q46" s="4"/>
      <c r="R46" s="4"/>
      <c r="S46" s="4"/>
      <c r="T46" s="4"/>
    </row>
    <row r="47" spans="1:20" s="142" customFormat="1" x14ac:dyDescent="0.25">
      <c r="A47" s="137"/>
      <c r="B47" s="138"/>
      <c r="C47" s="139" t="s">
        <v>8</v>
      </c>
      <c r="D47" s="130">
        <f t="shared" ref="D47:J47" si="12">AVERAGE(D25:D45)</f>
        <v>608.71428571428567</v>
      </c>
      <c r="E47" s="131">
        <f t="shared" si="12"/>
        <v>2150.6</v>
      </c>
      <c r="F47" s="140">
        <f>+E46/(D46-D45-D43-D41-D38-D36-D34)</f>
        <v>2.9598128268648498</v>
      </c>
      <c r="G47" s="140">
        <f t="shared" si="12"/>
        <v>10.611111111111111</v>
      </c>
      <c r="H47" s="140">
        <f t="shared" si="12"/>
        <v>230.05555555555554</v>
      </c>
      <c r="I47" s="140">
        <f t="shared" si="12"/>
        <v>238.94117647058823</v>
      </c>
      <c r="J47" s="140">
        <f t="shared" si="12"/>
        <v>455.72222222222223</v>
      </c>
      <c r="K47" s="133">
        <f>+J46/(D46-D43-D41-D38)</f>
        <v>0.67056323060573853</v>
      </c>
      <c r="L47" s="133">
        <f>AVERAGE(L25:L45)</f>
        <v>38.63095238095238</v>
      </c>
      <c r="M47" s="134"/>
      <c r="N47" s="141"/>
      <c r="Q47" s="4"/>
      <c r="R47" s="4"/>
      <c r="S47" s="4"/>
      <c r="T47" s="4"/>
    </row>
    <row r="48" spans="1:20" s="142" customFormat="1" x14ac:dyDescent="0.25">
      <c r="A48" s="137"/>
      <c r="B48" s="138"/>
      <c r="C48" s="139" t="s">
        <v>9</v>
      </c>
      <c r="D48" s="130">
        <f t="shared" ref="D48:L48" si="13">MEDIAN(D25:D45)</f>
        <v>405</v>
      </c>
      <c r="E48" s="131">
        <f t="shared" si="13"/>
        <v>1278</v>
      </c>
      <c r="F48" s="140">
        <f t="shared" si="13"/>
        <v>2.877970456005138</v>
      </c>
      <c r="G48" s="140">
        <f t="shared" si="13"/>
        <v>7</v>
      </c>
      <c r="H48" s="140">
        <f t="shared" si="13"/>
        <v>105</v>
      </c>
      <c r="I48" s="140">
        <f t="shared" si="13"/>
        <v>200</v>
      </c>
      <c r="J48" s="140">
        <f t="shared" si="13"/>
        <v>291</v>
      </c>
      <c r="K48" s="140">
        <f t="shared" si="13"/>
        <v>0.7395686826066572</v>
      </c>
      <c r="L48" s="133">
        <f t="shared" si="13"/>
        <v>40</v>
      </c>
      <c r="M48" s="134"/>
      <c r="N48" s="143"/>
      <c r="Q48" s="4"/>
      <c r="R48" s="4"/>
      <c r="S48" s="4"/>
      <c r="T48" s="4"/>
    </row>
    <row r="49" spans="1:20" s="142" customFormat="1" x14ac:dyDescent="0.25">
      <c r="A49" s="144"/>
      <c r="B49" s="145"/>
      <c r="C49" s="139" t="s">
        <v>30</v>
      </c>
      <c r="D49" s="146"/>
      <c r="E49" s="147"/>
      <c r="F49" s="147"/>
      <c r="G49" s="147"/>
      <c r="H49" s="147"/>
      <c r="I49" s="147"/>
      <c r="J49" s="147"/>
      <c r="K49" s="147"/>
      <c r="L49" s="147"/>
      <c r="M49" s="148">
        <f>+M46/M24</f>
        <v>0.90476190476190477</v>
      </c>
      <c r="N49" s="149">
        <f>+N46/N24</f>
        <v>0.76190476190476186</v>
      </c>
      <c r="Q49" s="4"/>
      <c r="R49" s="4"/>
      <c r="S49" s="4"/>
      <c r="T49" s="4"/>
    </row>
    <row r="50" spans="1:20" x14ac:dyDescent="0.25">
      <c r="B50" s="150"/>
      <c r="C50" s="151"/>
      <c r="D50" s="152"/>
      <c r="E50" s="152"/>
      <c r="G50" s="152"/>
      <c r="H50" s="152"/>
      <c r="I50" s="152"/>
      <c r="J50" s="152"/>
      <c r="L50" s="153"/>
    </row>
    <row r="51" spans="1:20" x14ac:dyDescent="0.25">
      <c r="B51" s="150"/>
      <c r="C51" s="151"/>
      <c r="D51" s="152"/>
      <c r="E51" s="152"/>
      <c r="G51" s="152"/>
      <c r="H51" s="152"/>
      <c r="I51" s="152"/>
      <c r="J51" s="152"/>
      <c r="L51" s="153"/>
    </row>
    <row r="52" spans="1:20" s="161" customFormat="1" ht="12.75" customHeight="1" x14ac:dyDescent="0.25">
      <c r="A52" s="154" t="s">
        <v>668</v>
      </c>
      <c r="B52" s="155"/>
      <c r="C52" s="156"/>
      <c r="D52" s="157"/>
      <c r="E52" s="18" t="s">
        <v>136</v>
      </c>
      <c r="F52" s="19" t="s">
        <v>126</v>
      </c>
      <c r="G52" s="20" t="s">
        <v>137</v>
      </c>
      <c r="H52" s="158"/>
      <c r="I52" s="158"/>
      <c r="J52" s="158"/>
      <c r="K52" s="159"/>
      <c r="L52" s="160" t="s">
        <v>138</v>
      </c>
      <c r="M52" s="20" t="s">
        <v>140</v>
      </c>
      <c r="N52" s="25"/>
      <c r="Q52" s="4"/>
      <c r="R52" s="4"/>
      <c r="S52" s="4"/>
      <c r="T52" s="4"/>
    </row>
    <row r="53" spans="1:20" s="74" customFormat="1" ht="39" x14ac:dyDescent="0.25">
      <c r="A53" s="162" t="s">
        <v>11</v>
      </c>
      <c r="B53" s="163" t="s">
        <v>12</v>
      </c>
      <c r="C53" s="162" t="s">
        <v>2</v>
      </c>
      <c r="D53" s="164" t="s">
        <v>5</v>
      </c>
      <c r="E53" s="29"/>
      <c r="F53" s="30"/>
      <c r="G53" s="31" t="s">
        <v>129</v>
      </c>
      <c r="H53" s="31" t="s">
        <v>130</v>
      </c>
      <c r="I53" s="31" t="s">
        <v>131</v>
      </c>
      <c r="J53" s="31" t="s">
        <v>139</v>
      </c>
      <c r="K53" s="165" t="s">
        <v>133</v>
      </c>
      <c r="L53" s="166"/>
      <c r="M53" s="33" t="s">
        <v>134</v>
      </c>
      <c r="N53" s="33" t="s">
        <v>135</v>
      </c>
      <c r="Q53" s="4"/>
      <c r="R53" s="4"/>
      <c r="S53" s="4"/>
      <c r="T53" s="4"/>
    </row>
    <row r="54" spans="1:20" s="74" customFormat="1" x14ac:dyDescent="0.25">
      <c r="A54" s="167" t="s">
        <v>123</v>
      </c>
      <c r="B54" s="84"/>
      <c r="C54" s="168"/>
      <c r="D54" s="169">
        <v>6</v>
      </c>
      <c r="E54" s="169">
        <v>2</v>
      </c>
      <c r="F54" s="169">
        <v>2</v>
      </c>
      <c r="G54" s="169">
        <v>6</v>
      </c>
      <c r="H54" s="169">
        <v>6</v>
      </c>
      <c r="I54" s="169">
        <v>6</v>
      </c>
      <c r="J54" s="169">
        <v>6</v>
      </c>
      <c r="K54" s="169">
        <v>6</v>
      </c>
      <c r="L54" s="169">
        <v>6</v>
      </c>
      <c r="M54" s="169">
        <v>6</v>
      </c>
      <c r="N54" s="169">
        <v>6</v>
      </c>
      <c r="Q54" s="4"/>
      <c r="R54" s="4"/>
      <c r="S54" s="4"/>
      <c r="T54" s="4"/>
    </row>
    <row r="55" spans="1:20" x14ac:dyDescent="0.25">
      <c r="A55" s="170" t="s">
        <v>362</v>
      </c>
      <c r="B55" s="170" t="s">
        <v>306</v>
      </c>
      <c r="C55" s="171" t="s">
        <v>210</v>
      </c>
      <c r="D55" s="115">
        <v>194</v>
      </c>
      <c r="E55" s="116">
        <v>615</v>
      </c>
      <c r="F55" s="172">
        <f>+E55/D55</f>
        <v>3.170103092783505</v>
      </c>
      <c r="G55" s="118">
        <v>25</v>
      </c>
      <c r="H55" s="118">
        <v>194</v>
      </c>
      <c r="I55" s="173">
        <v>194</v>
      </c>
      <c r="J55" s="173">
        <v>388</v>
      </c>
      <c r="K55" s="172">
        <f t="shared" ref="K55:K60" si="14">+J55/D55</f>
        <v>2</v>
      </c>
      <c r="L55" s="174">
        <v>40</v>
      </c>
      <c r="M55" s="175" t="s">
        <v>224</v>
      </c>
      <c r="N55" s="175" t="s">
        <v>224</v>
      </c>
    </row>
    <row r="56" spans="1:20" x14ac:dyDescent="0.25">
      <c r="A56" s="170" t="s">
        <v>178</v>
      </c>
      <c r="B56" s="170" t="s">
        <v>413</v>
      </c>
      <c r="C56" s="171" t="s">
        <v>210</v>
      </c>
      <c r="D56" s="115">
        <v>106</v>
      </c>
      <c r="E56" s="123" t="s">
        <v>233</v>
      </c>
      <c r="F56" s="176" t="s">
        <v>233</v>
      </c>
      <c r="G56" s="118">
        <v>4</v>
      </c>
      <c r="H56" s="118">
        <v>80</v>
      </c>
      <c r="I56" s="173">
        <v>90</v>
      </c>
      <c r="J56" s="173">
        <v>170</v>
      </c>
      <c r="K56" s="172">
        <f t="shared" si="14"/>
        <v>1.6037735849056605</v>
      </c>
      <c r="L56" s="174">
        <v>35</v>
      </c>
      <c r="M56" s="175" t="s">
        <v>224</v>
      </c>
      <c r="N56" s="175" t="s">
        <v>224</v>
      </c>
    </row>
    <row r="57" spans="1:20" x14ac:dyDescent="0.25">
      <c r="A57" s="170" t="s">
        <v>417</v>
      </c>
      <c r="B57" s="170" t="s">
        <v>414</v>
      </c>
      <c r="C57" s="171" t="s">
        <v>210</v>
      </c>
      <c r="D57" s="115">
        <v>182</v>
      </c>
      <c r="E57" s="123" t="s">
        <v>233</v>
      </c>
      <c r="F57" s="176" t="s">
        <v>233</v>
      </c>
      <c r="G57" s="118">
        <v>5</v>
      </c>
      <c r="H57" s="118">
        <v>75</v>
      </c>
      <c r="I57" s="173">
        <v>25</v>
      </c>
      <c r="J57" s="173">
        <v>100</v>
      </c>
      <c r="K57" s="172">
        <f t="shared" si="14"/>
        <v>0.5494505494505495</v>
      </c>
      <c r="L57" s="174">
        <v>40</v>
      </c>
      <c r="M57" s="175" t="s">
        <v>224</v>
      </c>
      <c r="N57" s="175" t="s">
        <v>224</v>
      </c>
    </row>
    <row r="58" spans="1:20" x14ac:dyDescent="0.25">
      <c r="A58" s="170" t="s">
        <v>157</v>
      </c>
      <c r="B58" s="170" t="s">
        <v>415</v>
      </c>
      <c r="C58" s="171" t="s">
        <v>210</v>
      </c>
      <c r="D58" s="115">
        <v>83</v>
      </c>
      <c r="E58" s="123" t="s">
        <v>233</v>
      </c>
      <c r="F58" s="176" t="s">
        <v>233</v>
      </c>
      <c r="G58" s="118">
        <v>2</v>
      </c>
      <c r="H58" s="118">
        <v>16</v>
      </c>
      <c r="I58" s="173">
        <v>20</v>
      </c>
      <c r="J58" s="173">
        <v>36</v>
      </c>
      <c r="K58" s="172">
        <f t="shared" si="14"/>
        <v>0.43373493975903615</v>
      </c>
      <c r="L58" s="174">
        <v>32</v>
      </c>
      <c r="M58" s="175"/>
      <c r="N58" s="175"/>
      <c r="P58" s="4" t="s">
        <v>227</v>
      </c>
    </row>
    <row r="59" spans="1:20" x14ac:dyDescent="0.25">
      <c r="A59" s="170" t="s">
        <v>418</v>
      </c>
      <c r="B59" s="170" t="s">
        <v>416</v>
      </c>
      <c r="C59" s="171" t="s">
        <v>211</v>
      </c>
      <c r="D59" s="115">
        <v>212</v>
      </c>
      <c r="E59" s="123" t="s">
        <v>233</v>
      </c>
      <c r="F59" s="176" t="s">
        <v>233</v>
      </c>
      <c r="G59" s="118">
        <v>6</v>
      </c>
      <c r="H59" s="118">
        <v>98</v>
      </c>
      <c r="I59" s="173">
        <v>30</v>
      </c>
      <c r="J59" s="173">
        <v>128</v>
      </c>
      <c r="K59" s="172">
        <f t="shared" si="14"/>
        <v>0.60377358490566035</v>
      </c>
      <c r="L59" s="174">
        <v>36</v>
      </c>
      <c r="M59" s="175" t="s">
        <v>224</v>
      </c>
      <c r="N59" s="175" t="s">
        <v>224</v>
      </c>
    </row>
    <row r="60" spans="1:20" x14ac:dyDescent="0.25">
      <c r="A60" s="170" t="s">
        <v>179</v>
      </c>
      <c r="B60" s="170" t="s">
        <v>412</v>
      </c>
      <c r="C60" s="171" t="s">
        <v>211</v>
      </c>
      <c r="D60" s="115">
        <v>280</v>
      </c>
      <c r="E60" s="116">
        <v>1329</v>
      </c>
      <c r="F60" s="177">
        <f>+E60/D60</f>
        <v>4.746428571428571</v>
      </c>
      <c r="G60" s="178">
        <v>0</v>
      </c>
      <c r="H60" s="118">
        <v>0</v>
      </c>
      <c r="I60" s="173">
        <v>25</v>
      </c>
      <c r="J60" s="173">
        <v>26</v>
      </c>
      <c r="K60" s="177">
        <f t="shared" si="14"/>
        <v>9.285714285714286E-2</v>
      </c>
      <c r="L60" s="174">
        <v>36</v>
      </c>
      <c r="M60" s="175" t="s">
        <v>224</v>
      </c>
      <c r="N60" s="175" t="s">
        <v>224</v>
      </c>
    </row>
    <row r="61" spans="1:20" s="136" customFormat="1" ht="12.75" x14ac:dyDescent="0.2">
      <c r="A61" s="179"/>
      <c r="B61" s="180"/>
      <c r="C61" s="181" t="s">
        <v>7</v>
      </c>
      <c r="D61" s="182">
        <f>SUM(D55:D59)</f>
        <v>777</v>
      </c>
      <c r="E61" s="182">
        <f>SUM(E55:E60)</f>
        <v>1944</v>
      </c>
      <c r="F61" s="182"/>
      <c r="G61" s="182">
        <f>SUM(G55:G60)</f>
        <v>42</v>
      </c>
      <c r="H61" s="182">
        <f>SUM(H55:H60)</f>
        <v>463</v>
      </c>
      <c r="I61" s="182">
        <f>SUM(I55:I60)</f>
        <v>384</v>
      </c>
      <c r="J61" s="182">
        <f>SUM(J55:J60)</f>
        <v>848</v>
      </c>
      <c r="K61" s="183" t="s">
        <v>227</v>
      </c>
      <c r="L61" s="184">
        <f>SUM(L55:L60)</f>
        <v>219</v>
      </c>
      <c r="M61" s="185">
        <v>5</v>
      </c>
      <c r="N61" s="185">
        <v>4</v>
      </c>
    </row>
    <row r="62" spans="1:20" s="142" customFormat="1" ht="12.75" x14ac:dyDescent="0.2">
      <c r="A62" s="186"/>
      <c r="B62" s="187"/>
      <c r="C62" s="188" t="s">
        <v>8</v>
      </c>
      <c r="D62" s="182">
        <f>AVERAGE(D55:D59)</f>
        <v>155.4</v>
      </c>
      <c r="E62" s="182">
        <f t="shared" ref="E62:J62" si="15">AVERAGE(E55:E60)</f>
        <v>972</v>
      </c>
      <c r="F62" s="189">
        <f>+E61/(D61-D59-D58-D57-D56)</f>
        <v>10.020618556701031</v>
      </c>
      <c r="G62" s="189">
        <f t="shared" si="15"/>
        <v>7</v>
      </c>
      <c r="H62" s="189">
        <f t="shared" si="15"/>
        <v>77.166666666666671</v>
      </c>
      <c r="I62" s="189">
        <f t="shared" si="15"/>
        <v>64</v>
      </c>
      <c r="J62" s="189">
        <f t="shared" si="15"/>
        <v>141.33333333333334</v>
      </c>
      <c r="K62" s="190">
        <f>+J61/D61</f>
        <v>1.0913770913770913</v>
      </c>
      <c r="L62" s="184">
        <f>AVERAGE(L55:L60)</f>
        <v>36.5</v>
      </c>
      <c r="M62" s="185"/>
      <c r="N62" s="185"/>
    </row>
    <row r="63" spans="1:20" s="142" customFormat="1" ht="12.75" x14ac:dyDescent="0.2">
      <c r="A63" s="186"/>
      <c r="B63" s="187"/>
      <c r="C63" s="188" t="s">
        <v>9</v>
      </c>
      <c r="D63" s="182">
        <f>MEDIAN(D55:D59)</f>
        <v>182</v>
      </c>
      <c r="E63" s="182">
        <f t="shared" ref="E63:L63" si="16">MEDIAN(E55:E60)</f>
        <v>972</v>
      </c>
      <c r="F63" s="189">
        <f t="shared" si="16"/>
        <v>3.9582658321060382</v>
      </c>
      <c r="G63" s="189">
        <f t="shared" si="16"/>
        <v>4.5</v>
      </c>
      <c r="H63" s="189">
        <f t="shared" si="16"/>
        <v>77.5</v>
      </c>
      <c r="I63" s="189">
        <f t="shared" si="16"/>
        <v>27.5</v>
      </c>
      <c r="J63" s="189">
        <f t="shared" si="16"/>
        <v>114</v>
      </c>
      <c r="K63" s="189">
        <f t="shared" si="16"/>
        <v>0.57661206717810498</v>
      </c>
      <c r="L63" s="184">
        <f t="shared" si="16"/>
        <v>36</v>
      </c>
      <c r="M63" s="185"/>
      <c r="N63" s="185"/>
    </row>
    <row r="64" spans="1:20" s="142" customFormat="1" ht="12.75" x14ac:dyDescent="0.2">
      <c r="A64" s="191"/>
      <c r="B64" s="192"/>
      <c r="C64" s="188" t="s">
        <v>30</v>
      </c>
      <c r="D64" s="193"/>
      <c r="E64" s="194"/>
      <c r="F64" s="194"/>
      <c r="G64" s="194"/>
      <c r="H64" s="194"/>
      <c r="I64" s="194"/>
      <c r="J64" s="194"/>
      <c r="K64" s="194"/>
      <c r="L64" s="194"/>
      <c r="M64" s="195">
        <f>+M61/M54</f>
        <v>0.83333333333333337</v>
      </c>
      <c r="N64" s="195">
        <f>+N61/N54</f>
        <v>0.66666666666666663</v>
      </c>
    </row>
    <row r="65" spans="1:21" x14ac:dyDescent="0.25">
      <c r="B65" s="150"/>
      <c r="C65" s="151"/>
      <c r="D65" s="152"/>
      <c r="E65" s="152"/>
      <c r="G65" s="152"/>
      <c r="H65" s="152"/>
      <c r="I65" s="152"/>
      <c r="J65" s="152"/>
      <c r="L65" s="153"/>
    </row>
    <row r="66" spans="1:21" x14ac:dyDescent="0.25">
      <c r="B66" s="150"/>
      <c r="C66" s="151"/>
      <c r="D66" s="152"/>
      <c r="E66" s="152"/>
      <c r="G66" s="152"/>
      <c r="H66" s="152"/>
      <c r="I66" s="152"/>
      <c r="J66" s="152"/>
      <c r="L66" s="153"/>
    </row>
    <row r="67" spans="1:21" s="161" customFormat="1" ht="12.75" customHeight="1" x14ac:dyDescent="0.25">
      <c r="A67" s="154" t="s">
        <v>669</v>
      </c>
      <c r="B67" s="155"/>
      <c r="C67" s="156"/>
      <c r="D67" s="157"/>
      <c r="E67" s="18" t="s">
        <v>136</v>
      </c>
      <c r="F67" s="19" t="s">
        <v>126</v>
      </c>
      <c r="G67" s="20" t="s">
        <v>137</v>
      </c>
      <c r="H67" s="158"/>
      <c r="I67" s="158"/>
      <c r="J67" s="158"/>
      <c r="K67" s="159"/>
      <c r="L67" s="160" t="s">
        <v>138</v>
      </c>
      <c r="M67" s="20" t="s">
        <v>140</v>
      </c>
      <c r="N67" s="25"/>
    </row>
    <row r="68" spans="1:21" s="74" customFormat="1" ht="38.25" x14ac:dyDescent="0.2">
      <c r="A68" s="196" t="s">
        <v>11</v>
      </c>
      <c r="B68" s="197" t="s">
        <v>12</v>
      </c>
      <c r="C68" s="196" t="s">
        <v>2</v>
      </c>
      <c r="D68" s="198" t="s">
        <v>5</v>
      </c>
      <c r="E68" s="29"/>
      <c r="F68" s="30"/>
      <c r="G68" s="31" t="s">
        <v>129</v>
      </c>
      <c r="H68" s="31" t="s">
        <v>130</v>
      </c>
      <c r="I68" s="31" t="s">
        <v>131</v>
      </c>
      <c r="J68" s="31" t="s">
        <v>139</v>
      </c>
      <c r="K68" s="165" t="s">
        <v>133</v>
      </c>
      <c r="L68" s="166"/>
      <c r="M68" s="33" t="s">
        <v>134</v>
      </c>
      <c r="N68" s="33" t="s">
        <v>135</v>
      </c>
    </row>
    <row r="69" spans="1:21" s="74" customFormat="1" x14ac:dyDescent="0.25">
      <c r="A69" s="167" t="s">
        <v>123</v>
      </c>
      <c r="B69" s="84"/>
      <c r="C69" s="168"/>
      <c r="D69" s="169">
        <v>4</v>
      </c>
      <c r="E69" s="169">
        <v>4</v>
      </c>
      <c r="F69" s="169">
        <v>4</v>
      </c>
      <c r="G69" s="169">
        <v>4</v>
      </c>
      <c r="H69" s="169">
        <v>4</v>
      </c>
      <c r="I69" s="169">
        <v>4</v>
      </c>
      <c r="J69" s="169">
        <v>4</v>
      </c>
      <c r="K69" s="169">
        <v>4</v>
      </c>
      <c r="L69" s="169">
        <v>4</v>
      </c>
      <c r="M69" s="169">
        <v>4</v>
      </c>
      <c r="N69" s="169">
        <v>4</v>
      </c>
    </row>
    <row r="70" spans="1:21" x14ac:dyDescent="0.25">
      <c r="A70" s="170" t="s">
        <v>180</v>
      </c>
      <c r="B70" s="170" t="s">
        <v>441</v>
      </c>
      <c r="C70" s="199" t="s">
        <v>449</v>
      </c>
      <c r="D70" s="200">
        <v>236</v>
      </c>
      <c r="E70" s="173">
        <v>279</v>
      </c>
      <c r="F70" s="201">
        <f>+E70/D70</f>
        <v>1.1822033898305084</v>
      </c>
      <c r="G70" s="202">
        <v>13</v>
      </c>
      <c r="H70" s="173">
        <v>15</v>
      </c>
      <c r="I70" s="173">
        <v>100</v>
      </c>
      <c r="J70" s="173">
        <v>115</v>
      </c>
      <c r="K70" s="172">
        <f t="shared" ref="K70:K73" si="17">+J70/D70</f>
        <v>0.48728813559322032</v>
      </c>
      <c r="L70" s="119">
        <v>40</v>
      </c>
      <c r="M70" s="203" t="s">
        <v>224</v>
      </c>
      <c r="N70" s="203" t="s">
        <v>224</v>
      </c>
    </row>
    <row r="71" spans="1:21" x14ac:dyDescent="0.25">
      <c r="A71" s="170" t="s">
        <v>417</v>
      </c>
      <c r="B71" s="170" t="s">
        <v>205</v>
      </c>
      <c r="C71" s="199" t="s">
        <v>212</v>
      </c>
      <c r="D71" s="200">
        <v>168</v>
      </c>
      <c r="E71" s="173">
        <v>2187</v>
      </c>
      <c r="F71" s="204">
        <f t="shared" ref="F71:F73" si="18">+E71/D71</f>
        <v>13.017857142857142</v>
      </c>
      <c r="G71" s="173">
        <v>6</v>
      </c>
      <c r="H71" s="173">
        <v>71</v>
      </c>
      <c r="I71" s="173">
        <v>12</v>
      </c>
      <c r="J71" s="173">
        <v>83</v>
      </c>
      <c r="K71" s="177">
        <f t="shared" si="17"/>
        <v>0.49404761904761907</v>
      </c>
      <c r="L71" s="119">
        <v>34</v>
      </c>
      <c r="M71" s="175" t="s">
        <v>224</v>
      </c>
      <c r="N71" s="175" t="s">
        <v>224</v>
      </c>
    </row>
    <row r="72" spans="1:21" x14ac:dyDescent="0.25">
      <c r="A72" s="170" t="s">
        <v>443</v>
      </c>
      <c r="B72" s="170" t="s">
        <v>442</v>
      </c>
      <c r="C72" s="199" t="s">
        <v>212</v>
      </c>
      <c r="D72" s="200">
        <v>89</v>
      </c>
      <c r="E72" s="173">
        <v>2433</v>
      </c>
      <c r="F72" s="204">
        <f t="shared" si="18"/>
        <v>27.337078651685392</v>
      </c>
      <c r="G72" s="173">
        <v>9</v>
      </c>
      <c r="H72" s="173">
        <v>58</v>
      </c>
      <c r="I72" s="173">
        <v>15</v>
      </c>
      <c r="J72" s="173">
        <v>73</v>
      </c>
      <c r="K72" s="177">
        <f t="shared" si="17"/>
        <v>0.8202247191011236</v>
      </c>
      <c r="L72" s="119">
        <v>49</v>
      </c>
      <c r="M72" s="175" t="s">
        <v>224</v>
      </c>
      <c r="N72" s="175" t="s">
        <v>224</v>
      </c>
    </row>
    <row r="73" spans="1:21" x14ac:dyDescent="0.25">
      <c r="A73" s="170" t="s">
        <v>181</v>
      </c>
      <c r="B73" s="170" t="s">
        <v>434</v>
      </c>
      <c r="C73" s="199" t="s">
        <v>212</v>
      </c>
      <c r="D73" s="200">
        <v>36</v>
      </c>
      <c r="E73" s="173">
        <v>55</v>
      </c>
      <c r="F73" s="172">
        <f t="shared" si="18"/>
        <v>1.5277777777777777</v>
      </c>
      <c r="G73" s="173">
        <v>6</v>
      </c>
      <c r="H73" s="173">
        <v>33</v>
      </c>
      <c r="I73" s="173">
        <v>33</v>
      </c>
      <c r="J73" s="173">
        <v>66</v>
      </c>
      <c r="K73" s="172">
        <f t="shared" si="17"/>
        <v>1.8333333333333333</v>
      </c>
      <c r="L73" s="119">
        <v>28</v>
      </c>
      <c r="M73" s="203" t="s">
        <v>224</v>
      </c>
      <c r="N73" s="203" t="s">
        <v>224</v>
      </c>
    </row>
    <row r="74" spans="1:21" s="136" customFormat="1" x14ac:dyDescent="0.25">
      <c r="A74" s="179"/>
      <c r="B74" s="180"/>
      <c r="C74" s="205" t="s">
        <v>7</v>
      </c>
      <c r="D74" s="182">
        <f>SUM(D70:D73)</f>
        <v>529</v>
      </c>
      <c r="E74" s="182">
        <f>SUM(E70:E73)</f>
        <v>4954</v>
      </c>
      <c r="F74" s="182"/>
      <c r="G74" s="182">
        <f>SUM(G70:G73)</f>
        <v>34</v>
      </c>
      <c r="H74" s="182">
        <f>SUM(H70:H73)</f>
        <v>177</v>
      </c>
      <c r="I74" s="182">
        <f>SUM(I70:I73)</f>
        <v>160</v>
      </c>
      <c r="J74" s="182">
        <f>SUM(J70:J73)</f>
        <v>337</v>
      </c>
      <c r="K74" s="183" t="s">
        <v>227</v>
      </c>
      <c r="L74" s="189">
        <f>SUM(L70:L73)</f>
        <v>151</v>
      </c>
      <c r="M74" s="185">
        <v>4</v>
      </c>
      <c r="N74" s="185">
        <v>4</v>
      </c>
      <c r="Q74" s="4"/>
      <c r="R74" s="4"/>
      <c r="S74" s="4"/>
      <c r="T74" s="4"/>
      <c r="U74" s="4"/>
    </row>
    <row r="75" spans="1:21" s="142" customFormat="1" x14ac:dyDescent="0.25">
      <c r="A75" s="186"/>
      <c r="B75" s="187"/>
      <c r="C75" s="188" t="s">
        <v>8</v>
      </c>
      <c r="D75" s="182">
        <f t="shared" ref="D75:J75" si="19">AVERAGE(D70:D73)</f>
        <v>132.25</v>
      </c>
      <c r="E75" s="182">
        <f t="shared" si="19"/>
        <v>1238.5</v>
      </c>
      <c r="F75" s="189">
        <f>+E74/D74</f>
        <v>9.3648393194706987</v>
      </c>
      <c r="G75" s="189">
        <f t="shared" si="19"/>
        <v>8.5</v>
      </c>
      <c r="H75" s="189">
        <f t="shared" si="19"/>
        <v>44.25</v>
      </c>
      <c r="I75" s="189">
        <f t="shared" si="19"/>
        <v>40</v>
      </c>
      <c r="J75" s="189">
        <f t="shared" si="19"/>
        <v>84.25</v>
      </c>
      <c r="K75" s="190">
        <f>+J74/D74</f>
        <v>0.63705103969754251</v>
      </c>
      <c r="L75" s="189">
        <f>AVERAGE(L70:L73)</f>
        <v>37.75</v>
      </c>
      <c r="M75" s="185"/>
      <c r="N75" s="185"/>
      <c r="Q75" s="4"/>
      <c r="R75" s="4"/>
      <c r="S75" s="4"/>
      <c r="T75" s="4"/>
      <c r="U75" s="4"/>
    </row>
    <row r="76" spans="1:21" s="142" customFormat="1" x14ac:dyDescent="0.25">
      <c r="A76" s="186"/>
      <c r="B76" s="187"/>
      <c r="C76" s="188" t="s">
        <v>9</v>
      </c>
      <c r="D76" s="182">
        <f t="shared" ref="D76:L76" si="20">MEDIAN(D70:D73)</f>
        <v>128.5</v>
      </c>
      <c r="E76" s="182">
        <f t="shared" si="20"/>
        <v>1233</v>
      </c>
      <c r="F76" s="189">
        <f t="shared" si="20"/>
        <v>7.2728174603174596</v>
      </c>
      <c r="G76" s="189">
        <f t="shared" si="20"/>
        <v>7.5</v>
      </c>
      <c r="H76" s="189">
        <f t="shared" si="20"/>
        <v>45.5</v>
      </c>
      <c r="I76" s="189">
        <f t="shared" si="20"/>
        <v>24</v>
      </c>
      <c r="J76" s="189">
        <f t="shared" si="20"/>
        <v>78</v>
      </c>
      <c r="K76" s="189">
        <f t="shared" si="20"/>
        <v>0.65713616907437133</v>
      </c>
      <c r="L76" s="189">
        <f t="shared" si="20"/>
        <v>37</v>
      </c>
      <c r="M76" s="185"/>
      <c r="N76" s="185"/>
      <c r="Q76" s="4"/>
      <c r="R76" s="4"/>
      <c r="S76" s="4"/>
      <c r="T76" s="4"/>
      <c r="U76" s="4"/>
    </row>
    <row r="77" spans="1:21" s="142" customFormat="1" x14ac:dyDescent="0.25">
      <c r="A77" s="191"/>
      <c r="B77" s="192"/>
      <c r="C77" s="188" t="s">
        <v>30</v>
      </c>
      <c r="D77" s="193"/>
      <c r="E77" s="194"/>
      <c r="F77" s="194"/>
      <c r="G77" s="194"/>
      <c r="H77" s="194"/>
      <c r="I77" s="194"/>
      <c r="J77" s="194"/>
      <c r="K77" s="194"/>
      <c r="L77" s="194"/>
      <c r="M77" s="195">
        <f>+M74/M69</f>
        <v>1</v>
      </c>
      <c r="N77" s="195">
        <f>+N74/N69</f>
        <v>1</v>
      </c>
      <c r="Q77" s="4"/>
      <c r="R77" s="4"/>
      <c r="S77" s="4"/>
      <c r="T77" s="4"/>
      <c r="U77" s="4"/>
    </row>
    <row r="78" spans="1:21" x14ac:dyDescent="0.25">
      <c r="B78" s="150"/>
      <c r="C78" s="151"/>
      <c r="D78" s="152"/>
      <c r="E78" s="152"/>
      <c r="G78" s="152"/>
      <c r="H78" s="152"/>
      <c r="I78" s="152"/>
      <c r="J78" s="152"/>
      <c r="L78" s="153"/>
    </row>
    <row r="79" spans="1:21" x14ac:dyDescent="0.25">
      <c r="B79" s="150"/>
      <c r="C79" s="151"/>
      <c r="D79" s="152"/>
      <c r="E79" s="152"/>
      <c r="G79" s="152"/>
      <c r="H79" s="152"/>
      <c r="I79" s="152"/>
      <c r="J79" s="152"/>
      <c r="L79" s="153"/>
    </row>
    <row r="80" spans="1:21" s="161" customFormat="1" ht="12.75" customHeight="1" x14ac:dyDescent="0.25">
      <c r="A80" s="154" t="s">
        <v>673</v>
      </c>
      <c r="B80" s="155"/>
      <c r="C80" s="156"/>
      <c r="D80" s="157"/>
      <c r="E80" s="18" t="s">
        <v>136</v>
      </c>
      <c r="F80" s="19" t="s">
        <v>126</v>
      </c>
      <c r="G80" s="20" t="s">
        <v>137</v>
      </c>
      <c r="H80" s="158"/>
      <c r="I80" s="158"/>
      <c r="J80" s="158"/>
      <c r="K80" s="159"/>
      <c r="L80" s="160" t="s">
        <v>138</v>
      </c>
      <c r="M80" s="20" t="s">
        <v>140</v>
      </c>
      <c r="N80" s="25"/>
      <c r="Q80" s="4"/>
      <c r="R80" s="4"/>
      <c r="S80" s="4"/>
      <c r="T80" s="4"/>
      <c r="U80" s="4"/>
    </row>
    <row r="81" spans="1:21" s="74" customFormat="1" ht="39" x14ac:dyDescent="0.25">
      <c r="A81" s="196" t="s">
        <v>11</v>
      </c>
      <c r="B81" s="197" t="s">
        <v>12</v>
      </c>
      <c r="C81" s="196" t="s">
        <v>2</v>
      </c>
      <c r="D81" s="198" t="s">
        <v>5</v>
      </c>
      <c r="E81" s="29"/>
      <c r="F81" s="30"/>
      <c r="G81" s="31" t="s">
        <v>129</v>
      </c>
      <c r="H81" s="31" t="s">
        <v>130</v>
      </c>
      <c r="I81" s="31" t="s">
        <v>131</v>
      </c>
      <c r="J81" s="31" t="s">
        <v>139</v>
      </c>
      <c r="K81" s="165" t="s">
        <v>133</v>
      </c>
      <c r="L81" s="166"/>
      <c r="M81" s="33" t="s">
        <v>134</v>
      </c>
      <c r="N81" s="33" t="s">
        <v>135</v>
      </c>
      <c r="Q81" s="4"/>
      <c r="R81" s="4"/>
      <c r="S81" s="4"/>
      <c r="T81" s="4"/>
      <c r="U81" s="4"/>
    </row>
    <row r="82" spans="1:21" s="74" customFormat="1" x14ac:dyDescent="0.25">
      <c r="A82" s="167" t="s">
        <v>123</v>
      </c>
      <c r="B82" s="84"/>
      <c r="C82" s="168"/>
      <c r="D82" s="169">
        <v>14</v>
      </c>
      <c r="E82" s="169">
        <v>14</v>
      </c>
      <c r="F82" s="169">
        <v>14</v>
      </c>
      <c r="G82" s="169">
        <v>14</v>
      </c>
      <c r="H82" s="169">
        <v>13</v>
      </c>
      <c r="I82" s="169">
        <v>13</v>
      </c>
      <c r="J82" s="169">
        <v>13</v>
      </c>
      <c r="K82" s="169">
        <v>13</v>
      </c>
      <c r="L82" s="169">
        <v>14</v>
      </c>
      <c r="M82" s="169">
        <v>14</v>
      </c>
      <c r="N82" s="169">
        <v>14</v>
      </c>
      <c r="Q82" s="4"/>
      <c r="R82" s="4"/>
      <c r="S82" s="4"/>
      <c r="T82" s="4"/>
      <c r="U82" s="4"/>
    </row>
    <row r="83" spans="1:21" x14ac:dyDescent="0.25">
      <c r="A83" s="170" t="s">
        <v>361</v>
      </c>
      <c r="B83" s="170" t="s">
        <v>503</v>
      </c>
      <c r="C83" s="206" t="s">
        <v>213</v>
      </c>
      <c r="D83" s="200">
        <v>719</v>
      </c>
      <c r="E83" s="173">
        <v>3051</v>
      </c>
      <c r="F83" s="172">
        <f t="shared" ref="F83:F96" si="21">+E83/D83</f>
        <v>4.2433936022253134</v>
      </c>
      <c r="G83" s="173">
        <v>160</v>
      </c>
      <c r="H83" s="118">
        <v>3600</v>
      </c>
      <c r="I83" s="118">
        <v>165</v>
      </c>
      <c r="J83" s="118">
        <v>3765</v>
      </c>
      <c r="K83" s="172">
        <f>+J83/D83</f>
        <v>5.2364394993045895</v>
      </c>
      <c r="L83" s="119">
        <v>40</v>
      </c>
      <c r="M83" s="203" t="s">
        <v>224</v>
      </c>
      <c r="N83" s="203" t="s">
        <v>224</v>
      </c>
    </row>
    <row r="84" spans="1:21" x14ac:dyDescent="0.25">
      <c r="A84" s="170" t="s">
        <v>163</v>
      </c>
      <c r="B84" s="170" t="s">
        <v>164</v>
      </c>
      <c r="C84" s="206" t="s">
        <v>213</v>
      </c>
      <c r="D84" s="200">
        <v>173</v>
      </c>
      <c r="E84" s="173">
        <v>577</v>
      </c>
      <c r="F84" s="172">
        <f>+E84/D84</f>
        <v>3.3352601156069364</v>
      </c>
      <c r="G84" s="173">
        <v>9</v>
      </c>
      <c r="H84" s="118">
        <v>173</v>
      </c>
      <c r="I84" s="118">
        <v>90</v>
      </c>
      <c r="J84" s="118">
        <v>263</v>
      </c>
      <c r="K84" s="172">
        <f>+J84/D84</f>
        <v>1.5202312138728324</v>
      </c>
      <c r="L84" s="119">
        <v>42.5</v>
      </c>
      <c r="M84" s="203" t="s">
        <v>224</v>
      </c>
      <c r="N84" s="203" t="s">
        <v>224</v>
      </c>
    </row>
    <row r="85" spans="1:21" x14ac:dyDescent="0.25">
      <c r="A85" s="170" t="s">
        <v>148</v>
      </c>
      <c r="B85" s="170" t="s">
        <v>504</v>
      </c>
      <c r="C85" s="206" t="s">
        <v>214</v>
      </c>
      <c r="D85" s="200">
        <v>890</v>
      </c>
      <c r="E85" s="173">
        <v>2992</v>
      </c>
      <c r="F85" s="201">
        <f t="shared" si="21"/>
        <v>3.3617977528089886</v>
      </c>
      <c r="G85" s="173">
        <v>9</v>
      </c>
      <c r="H85" s="118">
        <v>261</v>
      </c>
      <c r="I85" s="118">
        <v>320</v>
      </c>
      <c r="J85" s="118">
        <v>581</v>
      </c>
      <c r="K85" s="207">
        <f>+J85/D85</f>
        <v>0.65280898876404492</v>
      </c>
      <c r="L85" s="119">
        <v>40.5</v>
      </c>
      <c r="M85" s="203" t="s">
        <v>224</v>
      </c>
      <c r="N85" s="203" t="s">
        <v>224</v>
      </c>
    </row>
    <row r="86" spans="1:21" x14ac:dyDescent="0.25">
      <c r="A86" s="170" t="s">
        <v>148</v>
      </c>
      <c r="B86" s="170" t="s">
        <v>505</v>
      </c>
      <c r="C86" s="206" t="s">
        <v>214</v>
      </c>
      <c r="D86" s="200">
        <v>717</v>
      </c>
      <c r="E86" s="173">
        <v>6642</v>
      </c>
      <c r="F86" s="201">
        <f t="shared" si="21"/>
        <v>9.2635983263598334</v>
      </c>
      <c r="G86" s="173">
        <v>20</v>
      </c>
      <c r="H86" s="118">
        <v>300</v>
      </c>
      <c r="I86" s="118">
        <v>400</v>
      </c>
      <c r="J86" s="118">
        <v>700</v>
      </c>
      <c r="K86" s="172">
        <f t="shared" ref="K86:K96" si="22">+J86/D86</f>
        <v>0.97629009762900976</v>
      </c>
      <c r="L86" s="119">
        <v>40</v>
      </c>
      <c r="M86" s="203" t="s">
        <v>224</v>
      </c>
      <c r="N86" s="203" t="s">
        <v>224</v>
      </c>
    </row>
    <row r="87" spans="1:21" x14ac:dyDescent="0.25">
      <c r="A87" s="170" t="s">
        <v>178</v>
      </c>
      <c r="B87" s="170" t="s">
        <v>243</v>
      </c>
      <c r="C87" s="206" t="s">
        <v>214</v>
      </c>
      <c r="D87" s="200">
        <v>470</v>
      </c>
      <c r="E87" s="173">
        <v>18567</v>
      </c>
      <c r="F87" s="172">
        <f t="shared" si="21"/>
        <v>39.504255319148939</v>
      </c>
      <c r="G87" s="173">
        <v>15</v>
      </c>
      <c r="H87" s="118">
        <v>400</v>
      </c>
      <c r="I87" s="118">
        <v>400</v>
      </c>
      <c r="J87" s="118">
        <v>800</v>
      </c>
      <c r="K87" s="172">
        <f t="shared" si="22"/>
        <v>1.7021276595744681</v>
      </c>
      <c r="L87" s="119">
        <v>34</v>
      </c>
      <c r="M87" s="203" t="s">
        <v>224</v>
      </c>
      <c r="N87" s="203" t="s">
        <v>224</v>
      </c>
    </row>
    <row r="88" spans="1:21" x14ac:dyDescent="0.25">
      <c r="A88" s="170" t="s">
        <v>364</v>
      </c>
      <c r="B88" s="170" t="s">
        <v>450</v>
      </c>
      <c r="C88" s="206" t="s">
        <v>213</v>
      </c>
      <c r="D88" s="200">
        <v>447</v>
      </c>
      <c r="E88" s="173">
        <v>3810</v>
      </c>
      <c r="F88" s="172">
        <f t="shared" si="21"/>
        <v>8.5234899328859068</v>
      </c>
      <c r="G88" s="173">
        <v>12</v>
      </c>
      <c r="H88" s="118">
        <v>280</v>
      </c>
      <c r="I88" s="118">
        <v>128</v>
      </c>
      <c r="J88" s="118">
        <v>408</v>
      </c>
      <c r="K88" s="172">
        <f t="shared" si="22"/>
        <v>0.91275167785234901</v>
      </c>
      <c r="L88" s="119">
        <v>42.5</v>
      </c>
      <c r="M88" s="203" t="s">
        <v>224</v>
      </c>
      <c r="N88" s="203" t="s">
        <v>224</v>
      </c>
    </row>
    <row r="89" spans="1:21" x14ac:dyDescent="0.25">
      <c r="A89" s="170" t="s">
        <v>364</v>
      </c>
      <c r="B89" s="170" t="s">
        <v>506</v>
      </c>
      <c r="C89" s="206" t="s">
        <v>213</v>
      </c>
      <c r="D89" s="200">
        <v>792</v>
      </c>
      <c r="E89" s="173">
        <v>2962</v>
      </c>
      <c r="F89" s="172">
        <f>+E89/D89</f>
        <v>3.7398989898989901</v>
      </c>
      <c r="G89" s="173">
        <v>11</v>
      </c>
      <c r="H89" s="118">
        <v>240</v>
      </c>
      <c r="I89" s="118">
        <v>95</v>
      </c>
      <c r="J89" s="118">
        <v>335</v>
      </c>
      <c r="K89" s="172">
        <f>+J89/D89</f>
        <v>0.42297979797979796</v>
      </c>
      <c r="L89" s="119">
        <v>35</v>
      </c>
      <c r="M89" s="203" t="s">
        <v>224</v>
      </c>
      <c r="N89" s="203" t="s">
        <v>224</v>
      </c>
    </row>
    <row r="90" spans="1:21" x14ac:dyDescent="0.25">
      <c r="A90" s="170" t="s">
        <v>364</v>
      </c>
      <c r="B90" s="170" t="s">
        <v>507</v>
      </c>
      <c r="C90" s="206" t="s">
        <v>213</v>
      </c>
      <c r="D90" s="200">
        <v>767</v>
      </c>
      <c r="E90" s="173">
        <v>2930</v>
      </c>
      <c r="F90" s="172">
        <f t="shared" si="21"/>
        <v>3.8200782268578877</v>
      </c>
      <c r="G90" s="173">
        <v>6</v>
      </c>
      <c r="H90" s="118">
        <v>132</v>
      </c>
      <c r="I90" s="118">
        <v>150</v>
      </c>
      <c r="J90" s="118">
        <v>282</v>
      </c>
      <c r="K90" s="172">
        <f t="shared" si="22"/>
        <v>0.36766623207301175</v>
      </c>
      <c r="L90" s="119">
        <v>40</v>
      </c>
      <c r="M90" s="203" t="s">
        <v>224</v>
      </c>
      <c r="N90" s="203" t="s">
        <v>224</v>
      </c>
    </row>
    <row r="91" spans="1:21" x14ac:dyDescent="0.25">
      <c r="A91" s="170" t="s">
        <v>149</v>
      </c>
      <c r="B91" s="170" t="s">
        <v>312</v>
      </c>
      <c r="C91" s="206" t="s">
        <v>213</v>
      </c>
      <c r="D91" s="200">
        <v>466</v>
      </c>
      <c r="E91" s="173">
        <v>3015</v>
      </c>
      <c r="F91" s="172">
        <f t="shared" si="21"/>
        <v>6.469957081545064</v>
      </c>
      <c r="G91" s="173">
        <v>13</v>
      </c>
      <c r="H91" s="118">
        <v>221</v>
      </c>
      <c r="I91" s="118">
        <v>140</v>
      </c>
      <c r="J91" s="118">
        <v>361</v>
      </c>
      <c r="K91" s="172">
        <f t="shared" si="22"/>
        <v>0.77467811158798283</v>
      </c>
      <c r="L91" s="119">
        <v>38</v>
      </c>
      <c r="M91" s="203" t="s">
        <v>224</v>
      </c>
      <c r="N91" s="203" t="s">
        <v>224</v>
      </c>
    </row>
    <row r="92" spans="1:21" x14ac:dyDescent="0.25">
      <c r="A92" s="170" t="s">
        <v>183</v>
      </c>
      <c r="B92" s="170" t="s">
        <v>244</v>
      </c>
      <c r="C92" s="206" t="s">
        <v>213</v>
      </c>
      <c r="D92" s="200">
        <v>869</v>
      </c>
      <c r="E92" s="173">
        <v>7844</v>
      </c>
      <c r="F92" s="172">
        <f t="shared" si="21"/>
        <v>9.0264672036823939</v>
      </c>
      <c r="G92" s="173">
        <v>39</v>
      </c>
      <c r="H92" s="208" t="s">
        <v>233</v>
      </c>
      <c r="I92" s="208" t="s">
        <v>233</v>
      </c>
      <c r="J92" s="208" t="s">
        <v>233</v>
      </c>
      <c r="K92" s="176" t="s">
        <v>233</v>
      </c>
      <c r="L92" s="119">
        <v>45</v>
      </c>
      <c r="M92" s="203" t="s">
        <v>224</v>
      </c>
      <c r="N92" s="203" t="s">
        <v>224</v>
      </c>
    </row>
    <row r="93" spans="1:21" x14ac:dyDescent="0.25">
      <c r="A93" s="170" t="s">
        <v>143</v>
      </c>
      <c r="B93" s="170" t="s">
        <v>508</v>
      </c>
      <c r="C93" s="206" t="s">
        <v>213</v>
      </c>
      <c r="D93" s="200">
        <v>105</v>
      </c>
      <c r="E93" s="173">
        <v>637</v>
      </c>
      <c r="F93" s="172">
        <f t="shared" si="21"/>
        <v>6.0666666666666664</v>
      </c>
      <c r="G93" s="173">
        <v>2</v>
      </c>
      <c r="H93" s="118">
        <v>20</v>
      </c>
      <c r="I93" s="118">
        <v>75</v>
      </c>
      <c r="J93" s="118">
        <v>95</v>
      </c>
      <c r="K93" s="172">
        <f t="shared" si="22"/>
        <v>0.90476190476190477</v>
      </c>
      <c r="L93" s="119">
        <v>8</v>
      </c>
      <c r="M93" s="203" t="s">
        <v>224</v>
      </c>
      <c r="N93" s="203" t="s">
        <v>224</v>
      </c>
    </row>
    <row r="94" spans="1:21" x14ac:dyDescent="0.25">
      <c r="A94" s="170" t="s">
        <v>257</v>
      </c>
      <c r="B94" s="170" t="s">
        <v>509</v>
      </c>
      <c r="C94" s="206" t="s">
        <v>214</v>
      </c>
      <c r="D94" s="200">
        <v>799</v>
      </c>
      <c r="E94" s="173">
        <v>6813</v>
      </c>
      <c r="F94" s="172">
        <f t="shared" si="21"/>
        <v>8.5269086357947437</v>
      </c>
      <c r="G94" s="173">
        <v>6</v>
      </c>
      <c r="H94" s="118">
        <v>150</v>
      </c>
      <c r="I94" s="118">
        <v>500</v>
      </c>
      <c r="J94" s="118">
        <v>650</v>
      </c>
      <c r="K94" s="172">
        <f t="shared" si="22"/>
        <v>0.81351689612015021</v>
      </c>
      <c r="L94" s="119">
        <v>40</v>
      </c>
      <c r="M94" s="203" t="s">
        <v>224</v>
      </c>
      <c r="N94" s="203" t="s">
        <v>224</v>
      </c>
    </row>
    <row r="95" spans="1:21" x14ac:dyDescent="0.25">
      <c r="A95" s="170" t="s">
        <v>365</v>
      </c>
      <c r="B95" s="170" t="s">
        <v>313</v>
      </c>
      <c r="C95" s="206" t="s">
        <v>213</v>
      </c>
      <c r="D95" s="200">
        <v>698</v>
      </c>
      <c r="E95" s="173">
        <v>7227</v>
      </c>
      <c r="F95" s="172">
        <f t="shared" si="21"/>
        <v>10.353868194842407</v>
      </c>
      <c r="G95" s="173">
        <v>5</v>
      </c>
      <c r="H95" s="118">
        <v>115</v>
      </c>
      <c r="I95" s="118">
        <v>150</v>
      </c>
      <c r="J95" s="118">
        <v>265</v>
      </c>
      <c r="K95" s="172">
        <f t="shared" si="22"/>
        <v>0.37965616045845274</v>
      </c>
      <c r="L95" s="119">
        <v>40</v>
      </c>
      <c r="M95" s="203" t="s">
        <v>224</v>
      </c>
      <c r="N95" s="203" t="s">
        <v>224</v>
      </c>
    </row>
    <row r="96" spans="1:21" x14ac:dyDescent="0.25">
      <c r="A96" s="170" t="s">
        <v>174</v>
      </c>
      <c r="B96" s="170" t="s">
        <v>177</v>
      </c>
      <c r="C96" s="206" t="s">
        <v>213</v>
      </c>
      <c r="D96" s="200">
        <v>245</v>
      </c>
      <c r="E96" s="173">
        <v>4155</v>
      </c>
      <c r="F96" s="172">
        <f t="shared" si="21"/>
        <v>16.959183673469386</v>
      </c>
      <c r="G96" s="173">
        <v>10</v>
      </c>
      <c r="H96" s="118">
        <v>240</v>
      </c>
      <c r="I96" s="118">
        <v>150</v>
      </c>
      <c r="J96" s="118">
        <v>390</v>
      </c>
      <c r="K96" s="172">
        <f t="shared" si="22"/>
        <v>1.5918367346938775</v>
      </c>
      <c r="L96" s="119">
        <v>40</v>
      </c>
      <c r="M96" s="203" t="s">
        <v>224</v>
      </c>
      <c r="N96" s="203" t="s">
        <v>224</v>
      </c>
    </row>
    <row r="97" spans="1:14" s="136" customFormat="1" ht="12.75" x14ac:dyDescent="0.2">
      <c r="A97" s="179"/>
      <c r="B97" s="180"/>
      <c r="C97" s="181" t="s">
        <v>7</v>
      </c>
      <c r="D97" s="182">
        <f>SUM(D83:D96)</f>
        <v>8157</v>
      </c>
      <c r="E97" s="182">
        <f>SUM(E83:E96)</f>
        <v>71222</v>
      </c>
      <c r="F97" s="182" t="s">
        <v>227</v>
      </c>
      <c r="G97" s="182">
        <f>SUM(G83:G96)</f>
        <v>317</v>
      </c>
      <c r="H97" s="182">
        <f>SUM(H83:H96)</f>
        <v>6132</v>
      </c>
      <c r="I97" s="182">
        <f>SUM(I83:I96)</f>
        <v>2763</v>
      </c>
      <c r="J97" s="182">
        <f>SUM(J83:J96)</f>
        <v>8895</v>
      </c>
      <c r="K97" s="183" t="s">
        <v>227</v>
      </c>
      <c r="L97" s="189">
        <f>SUM(L83:L96)</f>
        <v>525.5</v>
      </c>
      <c r="M97" s="185">
        <v>14</v>
      </c>
      <c r="N97" s="185">
        <v>14</v>
      </c>
    </row>
    <row r="98" spans="1:14" s="142" customFormat="1" ht="12.75" x14ac:dyDescent="0.2">
      <c r="A98" s="186"/>
      <c r="B98" s="187"/>
      <c r="C98" s="188" t="s">
        <v>8</v>
      </c>
      <c r="D98" s="182">
        <f t="shared" ref="D98:J98" si="23">AVERAGE(D83:D96)</f>
        <v>582.64285714285711</v>
      </c>
      <c r="E98" s="182">
        <f t="shared" si="23"/>
        <v>5087.2857142857147</v>
      </c>
      <c r="F98" s="189">
        <f>+E97/D97</f>
        <v>8.7313963466960889</v>
      </c>
      <c r="G98" s="189">
        <f t="shared" si="23"/>
        <v>22.642857142857142</v>
      </c>
      <c r="H98" s="189">
        <f t="shared" si="23"/>
        <v>471.69230769230768</v>
      </c>
      <c r="I98" s="189">
        <f t="shared" si="23"/>
        <v>212.53846153846155</v>
      </c>
      <c r="J98" s="189">
        <f t="shared" si="23"/>
        <v>684.23076923076928</v>
      </c>
      <c r="K98" s="190">
        <f>+J97/(D97-D92)</f>
        <v>1.2204994511525795</v>
      </c>
      <c r="L98" s="189">
        <f>AVERAGE(L83:L96)</f>
        <v>37.535714285714285</v>
      </c>
      <c r="M98" s="185"/>
      <c r="N98" s="185"/>
    </row>
    <row r="99" spans="1:14" s="142" customFormat="1" ht="12.75" x14ac:dyDescent="0.2">
      <c r="A99" s="186"/>
      <c r="B99" s="187"/>
      <c r="C99" s="188" t="s">
        <v>9</v>
      </c>
      <c r="D99" s="182">
        <f t="shared" ref="D99:L99" si="24">MEDIAN(D83:D96)</f>
        <v>707.5</v>
      </c>
      <c r="E99" s="182">
        <f t="shared" si="24"/>
        <v>3430.5</v>
      </c>
      <c r="F99" s="189">
        <f t="shared" si="24"/>
        <v>7.496723507215485</v>
      </c>
      <c r="G99" s="189">
        <f t="shared" si="24"/>
        <v>10.5</v>
      </c>
      <c r="H99" s="189">
        <f t="shared" si="24"/>
        <v>240</v>
      </c>
      <c r="I99" s="189">
        <f t="shared" si="24"/>
        <v>150</v>
      </c>
      <c r="J99" s="189">
        <f t="shared" si="24"/>
        <v>390</v>
      </c>
      <c r="K99" s="189">
        <f t="shared" si="24"/>
        <v>0.90476190476190477</v>
      </c>
      <c r="L99" s="189">
        <f t="shared" si="24"/>
        <v>40</v>
      </c>
      <c r="M99" s="185"/>
      <c r="N99" s="185"/>
    </row>
    <row r="100" spans="1:14" s="142" customFormat="1" ht="12.75" x14ac:dyDescent="0.2">
      <c r="A100" s="191"/>
      <c r="B100" s="192"/>
      <c r="C100" s="188" t="s">
        <v>30</v>
      </c>
      <c r="D100" s="193"/>
      <c r="E100" s="194"/>
      <c r="F100" s="194"/>
      <c r="G100" s="194"/>
      <c r="H100" s="194"/>
      <c r="I100" s="194"/>
      <c r="J100" s="194"/>
      <c r="K100" s="194"/>
      <c r="L100" s="194"/>
      <c r="M100" s="195">
        <f>+M97/M82</f>
        <v>1</v>
      </c>
      <c r="N100" s="195">
        <f>+N97/N82</f>
        <v>1</v>
      </c>
    </row>
    <row r="101" spans="1:14" x14ac:dyDescent="0.25">
      <c r="B101" s="150"/>
      <c r="C101" s="151"/>
      <c r="D101" s="152"/>
      <c r="E101" s="152"/>
      <c r="G101" s="152"/>
      <c r="H101" s="152"/>
      <c r="I101" s="152"/>
      <c r="J101" s="152"/>
      <c r="L101" s="153"/>
    </row>
    <row r="102" spans="1:14" x14ac:dyDescent="0.25">
      <c r="B102" s="150"/>
      <c r="C102" s="151"/>
      <c r="D102" s="152"/>
      <c r="E102" s="152"/>
      <c r="G102" s="152"/>
      <c r="H102" s="152"/>
      <c r="I102" s="152"/>
      <c r="J102" s="152"/>
      <c r="L102" s="153"/>
    </row>
    <row r="103" spans="1:14" s="161" customFormat="1" ht="12.75" customHeight="1" x14ac:dyDescent="0.25">
      <c r="A103" s="154" t="s">
        <v>671</v>
      </c>
      <c r="B103" s="155"/>
      <c r="C103" s="156"/>
      <c r="D103" s="157"/>
      <c r="E103" s="18" t="s">
        <v>136</v>
      </c>
      <c r="F103" s="19" t="s">
        <v>126</v>
      </c>
      <c r="G103" s="20" t="s">
        <v>137</v>
      </c>
      <c r="H103" s="158"/>
      <c r="I103" s="158"/>
      <c r="J103" s="158"/>
      <c r="K103" s="159"/>
      <c r="L103" s="160" t="s">
        <v>138</v>
      </c>
      <c r="M103" s="20" t="s">
        <v>140</v>
      </c>
      <c r="N103" s="25"/>
    </row>
    <row r="104" spans="1:14" s="74" customFormat="1" ht="38.25" x14ac:dyDescent="0.2">
      <c r="A104" s="196" t="s">
        <v>11</v>
      </c>
      <c r="B104" s="197" t="s">
        <v>12</v>
      </c>
      <c r="C104" s="196" t="s">
        <v>2</v>
      </c>
      <c r="D104" s="198" t="s">
        <v>5</v>
      </c>
      <c r="E104" s="29"/>
      <c r="F104" s="30"/>
      <c r="G104" s="31" t="s">
        <v>129</v>
      </c>
      <c r="H104" s="31" t="s">
        <v>130</v>
      </c>
      <c r="I104" s="31" t="s">
        <v>131</v>
      </c>
      <c r="J104" s="31" t="s">
        <v>139</v>
      </c>
      <c r="K104" s="165" t="s">
        <v>133</v>
      </c>
      <c r="L104" s="166"/>
      <c r="M104" s="33" t="s">
        <v>134</v>
      </c>
      <c r="N104" s="33" t="s">
        <v>135</v>
      </c>
    </row>
    <row r="105" spans="1:14" s="74" customFormat="1" x14ac:dyDescent="0.25">
      <c r="A105" s="167" t="s">
        <v>123</v>
      </c>
      <c r="B105" s="84"/>
      <c r="C105" s="168"/>
      <c r="D105" s="169">
        <v>7</v>
      </c>
      <c r="E105" s="169">
        <v>5</v>
      </c>
      <c r="F105" s="169">
        <v>5</v>
      </c>
      <c r="G105" s="169">
        <v>6</v>
      </c>
      <c r="H105" s="169">
        <v>6</v>
      </c>
      <c r="I105" s="169">
        <v>4</v>
      </c>
      <c r="J105" s="169">
        <v>6</v>
      </c>
      <c r="K105" s="169">
        <v>6</v>
      </c>
      <c r="L105" s="169">
        <v>7</v>
      </c>
      <c r="M105" s="169">
        <v>7</v>
      </c>
      <c r="N105" s="169">
        <v>7</v>
      </c>
    </row>
    <row r="106" spans="1:14" x14ac:dyDescent="0.25">
      <c r="A106" s="170" t="s">
        <v>361</v>
      </c>
      <c r="B106" s="170" t="s">
        <v>510</v>
      </c>
      <c r="C106" s="199" t="s">
        <v>215</v>
      </c>
      <c r="D106" s="209">
        <v>239</v>
      </c>
      <c r="E106" s="118">
        <v>3572</v>
      </c>
      <c r="F106" s="172">
        <f t="shared" ref="F106:F108" si="25">+E106/D106</f>
        <v>14.94560669456067</v>
      </c>
      <c r="G106" s="118">
        <v>10</v>
      </c>
      <c r="H106" s="118">
        <v>189</v>
      </c>
      <c r="I106" s="118">
        <v>50</v>
      </c>
      <c r="J106" s="201">
        <f t="shared" ref="J106:J111" si="26">SUM(H106:I106)</f>
        <v>239</v>
      </c>
      <c r="K106" s="210">
        <f t="shared" ref="K106:K111" si="27">+J106/D106</f>
        <v>1</v>
      </c>
      <c r="L106" s="119">
        <v>40</v>
      </c>
      <c r="M106" s="175" t="s">
        <v>224</v>
      </c>
      <c r="N106" s="175" t="s">
        <v>224</v>
      </c>
    </row>
    <row r="107" spans="1:14" x14ac:dyDescent="0.25">
      <c r="A107" s="170" t="s">
        <v>417</v>
      </c>
      <c r="B107" s="170" t="s">
        <v>245</v>
      </c>
      <c r="C107" s="199" t="s">
        <v>215</v>
      </c>
      <c r="D107" s="209">
        <v>469</v>
      </c>
      <c r="E107" s="118">
        <v>11604</v>
      </c>
      <c r="F107" s="177">
        <f t="shared" si="25"/>
        <v>24.742004264392325</v>
      </c>
      <c r="G107" s="118">
        <v>24</v>
      </c>
      <c r="H107" s="118">
        <v>369</v>
      </c>
      <c r="I107" s="118">
        <v>100</v>
      </c>
      <c r="J107" s="204">
        <f t="shared" si="26"/>
        <v>469</v>
      </c>
      <c r="K107" s="211">
        <f t="shared" si="27"/>
        <v>1</v>
      </c>
      <c r="L107" s="119">
        <v>36</v>
      </c>
      <c r="M107" s="175" t="s">
        <v>224</v>
      </c>
      <c r="N107" s="175" t="s">
        <v>224</v>
      </c>
    </row>
    <row r="108" spans="1:14" x14ac:dyDescent="0.25">
      <c r="A108" s="3" t="s">
        <v>364</v>
      </c>
      <c r="B108" s="3" t="s">
        <v>529</v>
      </c>
      <c r="C108" s="171" t="s">
        <v>215</v>
      </c>
      <c r="D108" s="212">
        <v>178</v>
      </c>
      <c r="E108" s="118">
        <v>2097</v>
      </c>
      <c r="F108" s="177">
        <f t="shared" si="25"/>
        <v>11.780898876404494</v>
      </c>
      <c r="G108" s="118">
        <v>11</v>
      </c>
      <c r="H108" s="118">
        <v>182</v>
      </c>
      <c r="I108" s="208" t="s">
        <v>233</v>
      </c>
      <c r="J108" s="204">
        <f t="shared" si="26"/>
        <v>182</v>
      </c>
      <c r="K108" s="211">
        <f t="shared" si="27"/>
        <v>1.0224719101123596</v>
      </c>
      <c r="L108" s="119">
        <v>35</v>
      </c>
      <c r="M108" s="175" t="s">
        <v>227</v>
      </c>
      <c r="N108" s="175" t="s">
        <v>227</v>
      </c>
    </row>
    <row r="109" spans="1:14" x14ac:dyDescent="0.25">
      <c r="A109" s="170" t="s">
        <v>364</v>
      </c>
      <c r="B109" s="170" t="s">
        <v>511</v>
      </c>
      <c r="C109" s="199" t="s">
        <v>215</v>
      </c>
      <c r="D109" s="209">
        <v>176</v>
      </c>
      <c r="E109" s="118">
        <v>2448</v>
      </c>
      <c r="F109" s="177">
        <f>+E109/D109</f>
        <v>13.909090909090908</v>
      </c>
      <c r="G109" s="118">
        <v>6</v>
      </c>
      <c r="H109" s="118">
        <v>112</v>
      </c>
      <c r="I109" s="118">
        <v>64</v>
      </c>
      <c r="J109" s="204">
        <f t="shared" si="26"/>
        <v>176</v>
      </c>
      <c r="K109" s="211">
        <f t="shared" si="27"/>
        <v>1</v>
      </c>
      <c r="L109" s="119">
        <v>31</v>
      </c>
      <c r="M109" s="175" t="s">
        <v>227</v>
      </c>
      <c r="N109" s="175" t="s">
        <v>227</v>
      </c>
    </row>
    <row r="110" spans="1:14" x14ac:dyDescent="0.25">
      <c r="A110" s="170" t="s">
        <v>485</v>
      </c>
      <c r="B110" s="170" t="s">
        <v>481</v>
      </c>
      <c r="C110" s="199" t="s">
        <v>215</v>
      </c>
      <c r="D110" s="209">
        <v>619</v>
      </c>
      <c r="E110" s="208" t="s">
        <v>233</v>
      </c>
      <c r="F110" s="213" t="s">
        <v>233</v>
      </c>
      <c r="G110" s="118">
        <v>9</v>
      </c>
      <c r="H110" s="118">
        <v>150</v>
      </c>
      <c r="I110" s="208" t="s">
        <v>233</v>
      </c>
      <c r="J110" s="204">
        <f t="shared" si="26"/>
        <v>150</v>
      </c>
      <c r="K110" s="211">
        <f t="shared" si="27"/>
        <v>0.24232633279483037</v>
      </c>
      <c r="L110" s="119">
        <v>36</v>
      </c>
      <c r="M110" s="175" t="s">
        <v>224</v>
      </c>
      <c r="N110" s="175" t="s">
        <v>224</v>
      </c>
    </row>
    <row r="111" spans="1:14" x14ac:dyDescent="0.25">
      <c r="A111" s="170" t="s">
        <v>257</v>
      </c>
      <c r="B111" s="170" t="s">
        <v>482</v>
      </c>
      <c r="C111" s="199" t="s">
        <v>215</v>
      </c>
      <c r="D111" s="209">
        <v>26</v>
      </c>
      <c r="E111" s="118">
        <v>248</v>
      </c>
      <c r="F111" s="177">
        <f>+E111/D111</f>
        <v>9.5384615384615383</v>
      </c>
      <c r="G111" s="118">
        <v>3</v>
      </c>
      <c r="H111" s="118">
        <v>26</v>
      </c>
      <c r="I111" s="118">
        <v>0</v>
      </c>
      <c r="J111" s="204">
        <f t="shared" si="26"/>
        <v>26</v>
      </c>
      <c r="K111" s="211">
        <f t="shared" si="27"/>
        <v>1</v>
      </c>
      <c r="L111" s="119">
        <v>7</v>
      </c>
      <c r="M111" s="175" t="s">
        <v>227</v>
      </c>
      <c r="N111" s="175" t="s">
        <v>227</v>
      </c>
    </row>
    <row r="112" spans="1:14" x14ac:dyDescent="0.25">
      <c r="A112" s="170" t="s">
        <v>166</v>
      </c>
      <c r="B112" s="170" t="s">
        <v>246</v>
      </c>
      <c r="C112" s="199" t="s">
        <v>215</v>
      </c>
      <c r="D112" s="209">
        <v>519</v>
      </c>
      <c r="E112" s="208" t="s">
        <v>233</v>
      </c>
      <c r="F112" s="213" t="s">
        <v>233</v>
      </c>
      <c r="G112" s="208" t="s">
        <v>233</v>
      </c>
      <c r="H112" s="208" t="s">
        <v>233</v>
      </c>
      <c r="I112" s="208" t="s">
        <v>233</v>
      </c>
      <c r="J112" s="214" t="s">
        <v>233</v>
      </c>
      <c r="K112" s="215" t="s">
        <v>233</v>
      </c>
      <c r="L112" s="119">
        <v>40</v>
      </c>
      <c r="M112" s="175" t="s">
        <v>224</v>
      </c>
      <c r="N112" s="175" t="s">
        <v>224</v>
      </c>
    </row>
    <row r="113" spans="1:14" s="136" customFormat="1" ht="12.75" x14ac:dyDescent="0.2">
      <c r="A113" s="179"/>
      <c r="B113" s="180"/>
      <c r="C113" s="205" t="s">
        <v>7</v>
      </c>
      <c r="D113" s="182">
        <f>SUM(D106:D112)</f>
        <v>2226</v>
      </c>
      <c r="E113" s="182">
        <f>SUM(E106:E112)</f>
        <v>19969</v>
      </c>
      <c r="F113" s="182"/>
      <c r="G113" s="182">
        <f>SUM(G106:G112)</f>
        <v>63</v>
      </c>
      <c r="H113" s="182">
        <f>SUM(H106:H112)</f>
        <v>1028</v>
      </c>
      <c r="I113" s="182">
        <f>SUM(I106:I112)</f>
        <v>214</v>
      </c>
      <c r="J113" s="182">
        <f>SUM(J106:J112)</f>
        <v>1242</v>
      </c>
      <c r="K113" s="216" t="s">
        <v>227</v>
      </c>
      <c r="L113" s="189">
        <f>SUM(L106:L112)</f>
        <v>225</v>
      </c>
      <c r="M113" s="185">
        <v>4</v>
      </c>
      <c r="N113" s="185">
        <v>4</v>
      </c>
    </row>
    <row r="114" spans="1:14" s="142" customFormat="1" ht="12.75" x14ac:dyDescent="0.2">
      <c r="A114" s="186"/>
      <c r="B114" s="187"/>
      <c r="C114" s="188" t="s">
        <v>8</v>
      </c>
      <c r="D114" s="182">
        <f t="shared" ref="D114:J114" si="28">AVERAGE(D106:D112)</f>
        <v>318</v>
      </c>
      <c r="E114" s="182">
        <f t="shared" si="28"/>
        <v>3993.8</v>
      </c>
      <c r="F114" s="189">
        <f>+E113/(D113-D112-D110)</f>
        <v>18.353860294117649</v>
      </c>
      <c r="G114" s="189">
        <f t="shared" si="28"/>
        <v>10.5</v>
      </c>
      <c r="H114" s="189">
        <f t="shared" si="28"/>
        <v>171.33333333333334</v>
      </c>
      <c r="I114" s="189">
        <f t="shared" si="28"/>
        <v>53.5</v>
      </c>
      <c r="J114" s="189">
        <f t="shared" si="28"/>
        <v>207</v>
      </c>
      <c r="K114" s="217">
        <f>+J113/(D113-D112)</f>
        <v>0.7275922671353251</v>
      </c>
      <c r="L114" s="189">
        <f>AVERAGE(L106:L112)</f>
        <v>32.142857142857146</v>
      </c>
      <c r="M114" s="185"/>
      <c r="N114" s="185"/>
    </row>
    <row r="115" spans="1:14" s="142" customFormat="1" ht="12.75" x14ac:dyDescent="0.2">
      <c r="A115" s="186"/>
      <c r="B115" s="187"/>
      <c r="C115" s="188" t="s">
        <v>9</v>
      </c>
      <c r="D115" s="182">
        <f t="shared" ref="D115:L115" si="29">MEDIAN(D106:D112)</f>
        <v>239</v>
      </c>
      <c r="E115" s="182">
        <f t="shared" si="29"/>
        <v>2448</v>
      </c>
      <c r="F115" s="189">
        <f t="shared" si="29"/>
        <v>13.909090909090908</v>
      </c>
      <c r="G115" s="189">
        <f t="shared" si="29"/>
        <v>9.5</v>
      </c>
      <c r="H115" s="189">
        <f t="shared" si="29"/>
        <v>166</v>
      </c>
      <c r="I115" s="189">
        <f t="shared" si="29"/>
        <v>57</v>
      </c>
      <c r="J115" s="189">
        <f t="shared" si="29"/>
        <v>179</v>
      </c>
      <c r="K115" s="218">
        <f t="shared" si="29"/>
        <v>1</v>
      </c>
      <c r="L115" s="189">
        <f t="shared" si="29"/>
        <v>36</v>
      </c>
      <c r="M115" s="185"/>
      <c r="N115" s="185"/>
    </row>
    <row r="116" spans="1:14" s="142" customFormat="1" ht="12.75" x14ac:dyDescent="0.2">
      <c r="A116" s="191"/>
      <c r="B116" s="192"/>
      <c r="C116" s="188" t="s">
        <v>30</v>
      </c>
      <c r="D116" s="193"/>
      <c r="E116" s="194"/>
      <c r="F116" s="194"/>
      <c r="G116" s="194"/>
      <c r="H116" s="194"/>
      <c r="I116" s="194"/>
      <c r="J116" s="194"/>
      <c r="K116" s="194"/>
      <c r="L116" s="194"/>
      <c r="M116" s="195">
        <f>+M113/M105</f>
        <v>0.5714285714285714</v>
      </c>
      <c r="N116" s="195">
        <f>+N113/N105</f>
        <v>0.5714285714285714</v>
      </c>
    </row>
    <row r="117" spans="1:14" x14ac:dyDescent="0.25">
      <c r="B117" s="150"/>
      <c r="C117" s="151"/>
      <c r="D117" s="152"/>
      <c r="E117" s="152"/>
      <c r="G117" s="152"/>
      <c r="H117" s="152"/>
      <c r="I117" s="152"/>
      <c r="J117" s="152"/>
      <c r="L117" s="153"/>
    </row>
    <row r="118" spans="1:14" x14ac:dyDescent="0.25">
      <c r="B118" s="150"/>
      <c r="C118" s="151"/>
      <c r="D118" s="152"/>
      <c r="E118" s="152"/>
      <c r="G118" s="152"/>
      <c r="H118" s="152"/>
      <c r="I118" s="152"/>
      <c r="J118" s="152"/>
      <c r="L118" s="153"/>
    </row>
    <row r="119" spans="1:14" s="161" customFormat="1" ht="12.75" customHeight="1" x14ac:dyDescent="0.25">
      <c r="A119" s="154" t="s">
        <v>672</v>
      </c>
      <c r="B119" s="155"/>
      <c r="C119" s="156"/>
      <c r="D119" s="157"/>
      <c r="E119" s="18" t="s">
        <v>136</v>
      </c>
      <c r="F119" s="19" t="s">
        <v>126</v>
      </c>
      <c r="G119" s="20" t="s">
        <v>137</v>
      </c>
      <c r="H119" s="158"/>
      <c r="I119" s="158"/>
      <c r="J119" s="158"/>
      <c r="K119" s="159"/>
      <c r="L119" s="160" t="s">
        <v>138</v>
      </c>
      <c r="M119" s="20" t="s">
        <v>140</v>
      </c>
      <c r="N119" s="25"/>
    </row>
    <row r="120" spans="1:14" s="74" customFormat="1" ht="38.25" x14ac:dyDescent="0.2">
      <c r="A120" s="196" t="s">
        <v>11</v>
      </c>
      <c r="B120" s="197" t="s">
        <v>12</v>
      </c>
      <c r="C120" s="196" t="s">
        <v>2</v>
      </c>
      <c r="D120" s="198" t="s">
        <v>5</v>
      </c>
      <c r="E120" s="29"/>
      <c r="F120" s="30"/>
      <c r="G120" s="31" t="s">
        <v>129</v>
      </c>
      <c r="H120" s="31" t="s">
        <v>130</v>
      </c>
      <c r="I120" s="31" t="s">
        <v>131</v>
      </c>
      <c r="J120" s="31" t="s">
        <v>139</v>
      </c>
      <c r="K120" s="165" t="s">
        <v>133</v>
      </c>
      <c r="L120" s="166"/>
      <c r="M120" s="33" t="s">
        <v>134</v>
      </c>
      <c r="N120" s="33" t="s">
        <v>135</v>
      </c>
    </row>
    <row r="121" spans="1:14" s="74" customFormat="1" x14ac:dyDescent="0.25">
      <c r="A121" s="167" t="s">
        <v>123</v>
      </c>
      <c r="B121" s="84"/>
      <c r="C121" s="168"/>
      <c r="D121" s="169">
        <v>62</v>
      </c>
      <c r="E121" s="169">
        <v>52</v>
      </c>
      <c r="F121" s="169">
        <v>52</v>
      </c>
      <c r="G121" s="169">
        <v>59</v>
      </c>
      <c r="H121" s="169">
        <v>59</v>
      </c>
      <c r="I121" s="169">
        <v>55</v>
      </c>
      <c r="J121" s="169">
        <v>62</v>
      </c>
      <c r="K121" s="169">
        <v>60</v>
      </c>
      <c r="L121" s="169">
        <v>61</v>
      </c>
      <c r="M121" s="169">
        <v>61</v>
      </c>
      <c r="N121" s="169">
        <v>61</v>
      </c>
    </row>
    <row r="122" spans="1:14" x14ac:dyDescent="0.25">
      <c r="A122" s="170" t="s">
        <v>361</v>
      </c>
      <c r="B122" s="170" t="s">
        <v>321</v>
      </c>
      <c r="C122" s="199" t="s">
        <v>216</v>
      </c>
      <c r="D122" s="200">
        <v>14</v>
      </c>
      <c r="E122" s="118">
        <v>368</v>
      </c>
      <c r="F122" s="172">
        <f>+E122/D122</f>
        <v>26.285714285714285</v>
      </c>
      <c r="G122" s="118">
        <v>3</v>
      </c>
      <c r="H122" s="118">
        <v>16</v>
      </c>
      <c r="I122" s="118">
        <v>16</v>
      </c>
      <c r="J122" s="118">
        <v>32</v>
      </c>
      <c r="K122" s="172">
        <f t="shared" ref="K122:K162" si="30">+J122/D122</f>
        <v>2.2857142857142856</v>
      </c>
      <c r="L122" s="119">
        <v>40</v>
      </c>
      <c r="M122" s="175" t="s">
        <v>224</v>
      </c>
      <c r="N122" s="175" t="s">
        <v>224</v>
      </c>
    </row>
    <row r="123" spans="1:14" x14ac:dyDescent="0.25">
      <c r="A123" s="170" t="s">
        <v>361</v>
      </c>
      <c r="B123" s="170" t="s">
        <v>512</v>
      </c>
      <c r="C123" s="199" t="s">
        <v>216</v>
      </c>
      <c r="D123" s="200">
        <v>257</v>
      </c>
      <c r="E123" s="118">
        <v>1702</v>
      </c>
      <c r="F123" s="177">
        <f>+E123/D123</f>
        <v>6.6225680933852136</v>
      </c>
      <c r="G123" s="118">
        <v>18</v>
      </c>
      <c r="H123" s="118">
        <v>250</v>
      </c>
      <c r="I123" s="208" t="s">
        <v>233</v>
      </c>
      <c r="J123" s="118">
        <v>250</v>
      </c>
      <c r="K123" s="177">
        <f t="shared" si="30"/>
        <v>0.97276264591439687</v>
      </c>
      <c r="L123" s="119">
        <v>30</v>
      </c>
      <c r="M123" s="175"/>
      <c r="N123" s="175"/>
    </row>
    <row r="124" spans="1:14" x14ac:dyDescent="0.25">
      <c r="A124" s="170" t="s">
        <v>361</v>
      </c>
      <c r="B124" s="170" t="s">
        <v>262</v>
      </c>
      <c r="C124" s="199" t="s">
        <v>216</v>
      </c>
      <c r="D124" s="200">
        <v>249</v>
      </c>
      <c r="E124" s="118">
        <v>6354</v>
      </c>
      <c r="F124" s="177">
        <f t="shared" ref="F124:F134" si="31">+E124/D124</f>
        <v>25.518072289156628</v>
      </c>
      <c r="G124" s="118">
        <v>16</v>
      </c>
      <c r="H124" s="118">
        <v>249</v>
      </c>
      <c r="I124" s="118">
        <v>150</v>
      </c>
      <c r="J124" s="118">
        <v>399</v>
      </c>
      <c r="K124" s="177">
        <f t="shared" si="30"/>
        <v>1.6024096385542168</v>
      </c>
      <c r="L124" s="119">
        <v>40</v>
      </c>
      <c r="M124" s="175" t="s">
        <v>224</v>
      </c>
      <c r="N124" s="175" t="s">
        <v>224</v>
      </c>
    </row>
    <row r="125" spans="1:14" x14ac:dyDescent="0.25">
      <c r="A125" s="170" t="s">
        <v>180</v>
      </c>
      <c r="B125" s="170" t="s">
        <v>263</v>
      </c>
      <c r="C125" s="199" t="s">
        <v>216</v>
      </c>
      <c r="D125" s="200">
        <v>389</v>
      </c>
      <c r="E125" s="118">
        <v>12500</v>
      </c>
      <c r="F125" s="177">
        <f t="shared" si="31"/>
        <v>32.133676092544988</v>
      </c>
      <c r="G125" s="118">
        <v>13</v>
      </c>
      <c r="H125" s="118">
        <v>171</v>
      </c>
      <c r="I125" s="118">
        <v>15</v>
      </c>
      <c r="J125" s="118">
        <v>186</v>
      </c>
      <c r="K125" s="177">
        <f t="shared" si="30"/>
        <v>0.47814910025706941</v>
      </c>
      <c r="L125" s="119">
        <v>40</v>
      </c>
      <c r="M125" s="175" t="s">
        <v>224</v>
      </c>
      <c r="N125" s="175" t="s">
        <v>224</v>
      </c>
    </row>
    <row r="126" spans="1:14" x14ac:dyDescent="0.25">
      <c r="A126" s="170" t="s">
        <v>163</v>
      </c>
      <c r="B126" s="170" t="s">
        <v>513</v>
      </c>
      <c r="C126" s="199" t="s">
        <v>216</v>
      </c>
      <c r="D126" s="200">
        <v>345</v>
      </c>
      <c r="E126" s="118">
        <v>7559</v>
      </c>
      <c r="F126" s="177">
        <f t="shared" si="31"/>
        <v>21.910144927536233</v>
      </c>
      <c r="G126" s="118">
        <v>19</v>
      </c>
      <c r="H126" s="118">
        <v>345</v>
      </c>
      <c r="I126" s="118">
        <v>50</v>
      </c>
      <c r="J126" s="118">
        <v>395</v>
      </c>
      <c r="K126" s="177">
        <f t="shared" si="30"/>
        <v>1.144927536231884</v>
      </c>
      <c r="L126" s="119">
        <v>30.5</v>
      </c>
      <c r="M126" s="175" t="s">
        <v>224</v>
      </c>
      <c r="N126" s="175" t="s">
        <v>224</v>
      </c>
    </row>
    <row r="127" spans="1:14" x14ac:dyDescent="0.25">
      <c r="A127" s="170" t="s">
        <v>362</v>
      </c>
      <c r="B127" s="170" t="s">
        <v>322</v>
      </c>
      <c r="C127" s="199" t="s">
        <v>217</v>
      </c>
      <c r="D127" s="200">
        <v>424</v>
      </c>
      <c r="E127" s="118">
        <v>8245</v>
      </c>
      <c r="F127" s="177">
        <f t="shared" si="31"/>
        <v>19.445754716981131</v>
      </c>
      <c r="G127" s="118">
        <v>21</v>
      </c>
      <c r="H127" s="118">
        <v>421</v>
      </c>
      <c r="I127" s="118">
        <v>150</v>
      </c>
      <c r="J127" s="118">
        <v>571</v>
      </c>
      <c r="K127" s="177">
        <f t="shared" si="30"/>
        <v>1.3466981132075471</v>
      </c>
      <c r="L127" s="119">
        <v>35</v>
      </c>
      <c r="M127" s="175" t="s">
        <v>224</v>
      </c>
      <c r="N127" s="175" t="s">
        <v>224</v>
      </c>
    </row>
    <row r="128" spans="1:14" x14ac:dyDescent="0.25">
      <c r="A128" s="170" t="s">
        <v>362</v>
      </c>
      <c r="B128" s="170" t="s">
        <v>264</v>
      </c>
      <c r="C128" s="199" t="s">
        <v>217</v>
      </c>
      <c r="D128" s="200">
        <v>381</v>
      </c>
      <c r="E128" s="118">
        <v>6612</v>
      </c>
      <c r="F128" s="177">
        <f t="shared" si="31"/>
        <v>17.354330708661418</v>
      </c>
      <c r="G128" s="118">
        <v>21</v>
      </c>
      <c r="H128" s="118">
        <v>387</v>
      </c>
      <c r="I128" s="118">
        <v>15</v>
      </c>
      <c r="J128" s="118">
        <v>402</v>
      </c>
      <c r="K128" s="177">
        <f t="shared" si="30"/>
        <v>1.0551181102362204</v>
      </c>
      <c r="L128" s="119">
        <v>35</v>
      </c>
      <c r="M128" s="175" t="s">
        <v>224</v>
      </c>
      <c r="N128" s="175" t="s">
        <v>224</v>
      </c>
    </row>
    <row r="129" spans="1:14" x14ac:dyDescent="0.25">
      <c r="A129" s="170" t="s">
        <v>362</v>
      </c>
      <c r="B129" s="170" t="s">
        <v>514</v>
      </c>
      <c r="C129" s="199" t="s">
        <v>217</v>
      </c>
      <c r="D129" s="200">
        <v>199</v>
      </c>
      <c r="E129" s="118">
        <v>4300</v>
      </c>
      <c r="F129" s="177">
        <f t="shared" si="31"/>
        <v>21.608040201005025</v>
      </c>
      <c r="G129" s="118">
        <v>13</v>
      </c>
      <c r="H129" s="118">
        <v>199</v>
      </c>
      <c r="I129" s="118">
        <v>35</v>
      </c>
      <c r="J129" s="118">
        <v>234</v>
      </c>
      <c r="K129" s="177">
        <f t="shared" si="30"/>
        <v>1.1758793969849246</v>
      </c>
      <c r="L129" s="119">
        <v>40</v>
      </c>
      <c r="M129" s="175"/>
      <c r="N129" s="175" t="s">
        <v>224</v>
      </c>
    </row>
    <row r="130" spans="1:14" x14ac:dyDescent="0.25">
      <c r="A130" s="170" t="s">
        <v>362</v>
      </c>
      <c r="B130" s="170" t="s">
        <v>323</v>
      </c>
      <c r="C130" s="199" t="s">
        <v>217</v>
      </c>
      <c r="D130" s="200">
        <v>210</v>
      </c>
      <c r="E130" s="208" t="s">
        <v>233</v>
      </c>
      <c r="F130" s="213" t="s">
        <v>233</v>
      </c>
      <c r="G130" s="118">
        <v>14</v>
      </c>
      <c r="H130" s="118">
        <v>215</v>
      </c>
      <c r="I130" s="118">
        <v>0</v>
      </c>
      <c r="J130" s="118">
        <v>215</v>
      </c>
      <c r="K130" s="177">
        <f t="shared" si="30"/>
        <v>1.0238095238095237</v>
      </c>
      <c r="L130" s="119">
        <v>40</v>
      </c>
      <c r="M130" s="175" t="s">
        <v>224</v>
      </c>
      <c r="N130" s="175"/>
    </row>
    <row r="131" spans="1:14" x14ac:dyDescent="0.25">
      <c r="A131" s="170" t="s">
        <v>362</v>
      </c>
      <c r="B131" s="170" t="s">
        <v>265</v>
      </c>
      <c r="C131" s="199" t="s">
        <v>217</v>
      </c>
      <c r="D131" s="200">
        <v>323</v>
      </c>
      <c r="E131" s="118">
        <v>5439</v>
      </c>
      <c r="F131" s="177">
        <f t="shared" si="31"/>
        <v>16.839009287925698</v>
      </c>
      <c r="G131" s="118">
        <v>16</v>
      </c>
      <c r="H131" s="118">
        <v>330</v>
      </c>
      <c r="I131" s="118">
        <v>200</v>
      </c>
      <c r="J131" s="118">
        <v>530</v>
      </c>
      <c r="K131" s="177">
        <f t="shared" si="30"/>
        <v>1.6408668730650156</v>
      </c>
      <c r="L131" s="119">
        <v>38</v>
      </c>
      <c r="M131" s="175" t="s">
        <v>224</v>
      </c>
      <c r="N131" s="175" t="s">
        <v>224</v>
      </c>
    </row>
    <row r="132" spans="1:14" x14ac:dyDescent="0.25">
      <c r="A132" s="170" t="s">
        <v>362</v>
      </c>
      <c r="B132" s="170" t="s">
        <v>324</v>
      </c>
      <c r="C132" s="199" t="s">
        <v>217</v>
      </c>
      <c r="D132" s="200">
        <v>302</v>
      </c>
      <c r="E132" s="118">
        <v>6129</v>
      </c>
      <c r="F132" s="177">
        <f t="shared" si="31"/>
        <v>20.294701986754966</v>
      </c>
      <c r="G132" s="118">
        <v>16</v>
      </c>
      <c r="H132" s="118">
        <v>350</v>
      </c>
      <c r="I132" s="118">
        <v>260</v>
      </c>
      <c r="J132" s="118">
        <v>610</v>
      </c>
      <c r="K132" s="177">
        <f t="shared" si="30"/>
        <v>2.0198675496688741</v>
      </c>
      <c r="L132" s="119">
        <v>40</v>
      </c>
      <c r="M132" s="175" t="s">
        <v>224</v>
      </c>
      <c r="N132" s="175" t="s">
        <v>224</v>
      </c>
    </row>
    <row r="133" spans="1:14" x14ac:dyDescent="0.25">
      <c r="A133" s="170" t="s">
        <v>362</v>
      </c>
      <c r="B133" s="170" t="s">
        <v>515</v>
      </c>
      <c r="C133" s="199" t="s">
        <v>272</v>
      </c>
      <c r="D133" s="200">
        <v>260</v>
      </c>
      <c r="E133" s="118">
        <v>5657</v>
      </c>
      <c r="F133" s="177">
        <f t="shared" si="31"/>
        <v>21.757692307692309</v>
      </c>
      <c r="G133" s="118">
        <v>20</v>
      </c>
      <c r="H133" s="118">
        <v>410</v>
      </c>
      <c r="I133" s="118">
        <v>100</v>
      </c>
      <c r="J133" s="118">
        <v>510</v>
      </c>
      <c r="K133" s="177">
        <f t="shared" si="30"/>
        <v>1.9615384615384615</v>
      </c>
      <c r="L133" s="119">
        <v>40</v>
      </c>
      <c r="M133" s="175" t="s">
        <v>224</v>
      </c>
      <c r="N133" s="175"/>
    </row>
    <row r="134" spans="1:14" x14ac:dyDescent="0.25">
      <c r="A134" s="170" t="s">
        <v>362</v>
      </c>
      <c r="B134" s="170" t="s">
        <v>266</v>
      </c>
      <c r="C134" s="199" t="s">
        <v>217</v>
      </c>
      <c r="D134" s="200">
        <v>389</v>
      </c>
      <c r="E134" s="118">
        <v>6528</v>
      </c>
      <c r="F134" s="177">
        <f t="shared" si="31"/>
        <v>16.781491002570693</v>
      </c>
      <c r="G134" s="118">
        <v>14</v>
      </c>
      <c r="H134" s="118">
        <v>294</v>
      </c>
      <c r="I134" s="118">
        <v>32</v>
      </c>
      <c r="J134" s="118">
        <v>326</v>
      </c>
      <c r="K134" s="177">
        <f t="shared" si="30"/>
        <v>0.83804627249357322</v>
      </c>
      <c r="L134" s="119">
        <v>35</v>
      </c>
      <c r="M134" s="175" t="s">
        <v>224</v>
      </c>
      <c r="N134" s="175"/>
    </row>
    <row r="135" spans="1:14" x14ac:dyDescent="0.25">
      <c r="A135" s="170" t="s">
        <v>157</v>
      </c>
      <c r="B135" s="170" t="s">
        <v>516</v>
      </c>
      <c r="C135" s="199" t="s">
        <v>217</v>
      </c>
      <c r="D135" s="200">
        <v>4</v>
      </c>
      <c r="E135" s="208" t="s">
        <v>233</v>
      </c>
      <c r="F135" s="213" t="s">
        <v>233</v>
      </c>
      <c r="G135" s="125" t="s">
        <v>233</v>
      </c>
      <c r="H135" s="125" t="s">
        <v>233</v>
      </c>
      <c r="I135" s="125" t="s">
        <v>233</v>
      </c>
      <c r="J135" s="125" t="s">
        <v>233</v>
      </c>
      <c r="K135" s="213" t="s">
        <v>233</v>
      </c>
      <c r="L135" s="119">
        <v>32</v>
      </c>
      <c r="M135" s="175"/>
      <c r="N135" s="175"/>
    </row>
    <row r="136" spans="1:14" x14ac:dyDescent="0.25">
      <c r="A136" s="170" t="s">
        <v>157</v>
      </c>
      <c r="B136" s="170" t="s">
        <v>517</v>
      </c>
      <c r="C136" s="199" t="s">
        <v>217</v>
      </c>
      <c r="D136" s="200">
        <v>61</v>
      </c>
      <c r="E136" s="208" t="s">
        <v>233</v>
      </c>
      <c r="F136" s="213" t="s">
        <v>233</v>
      </c>
      <c r="G136" s="118">
        <v>4</v>
      </c>
      <c r="H136" s="118">
        <v>30</v>
      </c>
      <c r="I136" s="118">
        <v>35</v>
      </c>
      <c r="J136" s="118">
        <v>65</v>
      </c>
      <c r="K136" s="177">
        <f t="shared" si="30"/>
        <v>1.0655737704918034</v>
      </c>
      <c r="L136" s="119">
        <v>32</v>
      </c>
      <c r="M136" s="175"/>
      <c r="N136" s="175"/>
    </row>
    <row r="137" spans="1:14" x14ac:dyDescent="0.25">
      <c r="A137" s="170" t="s">
        <v>157</v>
      </c>
      <c r="B137" s="170" t="s">
        <v>518</v>
      </c>
      <c r="C137" s="171" t="s">
        <v>217</v>
      </c>
      <c r="D137" s="200">
        <v>12</v>
      </c>
      <c r="E137" s="208" t="s">
        <v>233</v>
      </c>
      <c r="F137" s="213" t="s">
        <v>233</v>
      </c>
      <c r="G137" s="118">
        <v>2</v>
      </c>
      <c r="H137" s="118">
        <v>12</v>
      </c>
      <c r="I137" s="118">
        <v>4</v>
      </c>
      <c r="J137" s="118">
        <v>16</v>
      </c>
      <c r="K137" s="177">
        <f t="shared" si="30"/>
        <v>1.3333333333333333</v>
      </c>
      <c r="L137" s="119">
        <v>32</v>
      </c>
      <c r="M137" s="175"/>
      <c r="N137" s="175"/>
    </row>
    <row r="138" spans="1:14" x14ac:dyDescent="0.25">
      <c r="A138" s="170" t="s">
        <v>182</v>
      </c>
      <c r="B138" s="170" t="s">
        <v>519</v>
      </c>
      <c r="C138" s="171" t="s">
        <v>275</v>
      </c>
      <c r="D138" s="200">
        <v>253</v>
      </c>
      <c r="E138" s="118">
        <v>2652</v>
      </c>
      <c r="F138" s="177">
        <f>+E138/D138</f>
        <v>10.482213438735178</v>
      </c>
      <c r="G138" s="118">
        <v>13</v>
      </c>
      <c r="H138" s="118">
        <v>260</v>
      </c>
      <c r="I138" s="118">
        <v>100</v>
      </c>
      <c r="J138" s="118">
        <v>360</v>
      </c>
      <c r="K138" s="177">
        <f>+J138/D138</f>
        <v>1.4229249011857708</v>
      </c>
      <c r="L138" s="119">
        <v>25</v>
      </c>
      <c r="M138" s="175"/>
      <c r="N138" s="175"/>
    </row>
    <row r="139" spans="1:14" x14ac:dyDescent="0.25">
      <c r="A139" s="170" t="s">
        <v>159</v>
      </c>
      <c r="B139" s="170" t="s">
        <v>267</v>
      </c>
      <c r="C139" s="171" t="s">
        <v>273</v>
      </c>
      <c r="D139" s="200">
        <v>236</v>
      </c>
      <c r="E139" s="118">
        <v>2512</v>
      </c>
      <c r="F139" s="177">
        <f>+E139/D139</f>
        <v>10.64406779661017</v>
      </c>
      <c r="G139" s="118">
        <v>12</v>
      </c>
      <c r="H139" s="118">
        <v>24</v>
      </c>
      <c r="I139" s="118">
        <v>200</v>
      </c>
      <c r="J139" s="118">
        <v>224</v>
      </c>
      <c r="K139" s="177">
        <f t="shared" si="30"/>
        <v>0.94915254237288138</v>
      </c>
      <c r="L139" s="119">
        <v>15</v>
      </c>
      <c r="M139" s="175"/>
      <c r="N139" s="175"/>
    </row>
    <row r="140" spans="1:14" x14ac:dyDescent="0.25">
      <c r="A140" s="170" t="s">
        <v>168</v>
      </c>
      <c r="B140" s="170" t="s">
        <v>520</v>
      </c>
      <c r="C140" s="171" t="s">
        <v>274</v>
      </c>
      <c r="D140" s="200">
        <v>151</v>
      </c>
      <c r="E140" s="118">
        <v>2579</v>
      </c>
      <c r="F140" s="177">
        <f t="shared" ref="F140:F159" si="32">+E140/D140</f>
        <v>17.079470198675498</v>
      </c>
      <c r="G140" s="118">
        <v>9</v>
      </c>
      <c r="H140" s="118">
        <v>156</v>
      </c>
      <c r="I140" s="118">
        <v>0</v>
      </c>
      <c r="J140" s="118">
        <v>156</v>
      </c>
      <c r="K140" s="177">
        <f t="shared" si="30"/>
        <v>1.0331125827814569</v>
      </c>
      <c r="L140" s="119">
        <v>35</v>
      </c>
      <c r="M140" s="175"/>
      <c r="N140" s="175"/>
    </row>
    <row r="141" spans="1:14" x14ac:dyDescent="0.25">
      <c r="A141" s="170" t="s">
        <v>168</v>
      </c>
      <c r="B141" s="170" t="s">
        <v>268</v>
      </c>
      <c r="C141" s="171" t="s">
        <v>274</v>
      </c>
      <c r="D141" s="200">
        <v>208</v>
      </c>
      <c r="E141" s="208" t="s">
        <v>233</v>
      </c>
      <c r="F141" s="213" t="s">
        <v>233</v>
      </c>
      <c r="G141" s="118">
        <v>12</v>
      </c>
      <c r="H141" s="118">
        <v>202</v>
      </c>
      <c r="I141" s="118">
        <v>5</v>
      </c>
      <c r="J141" s="118">
        <v>207</v>
      </c>
      <c r="K141" s="177">
        <f t="shared" si="30"/>
        <v>0.99519230769230771</v>
      </c>
      <c r="L141" s="119">
        <v>35</v>
      </c>
      <c r="M141" s="175"/>
      <c r="N141" s="175"/>
    </row>
    <row r="142" spans="1:14" x14ac:dyDescent="0.25">
      <c r="A142" s="170" t="s">
        <v>148</v>
      </c>
      <c r="B142" s="170" t="s">
        <v>249</v>
      </c>
      <c r="C142" s="171" t="s">
        <v>217</v>
      </c>
      <c r="D142" s="200">
        <v>388</v>
      </c>
      <c r="E142" s="118">
        <v>18200</v>
      </c>
      <c r="F142" s="177">
        <f t="shared" si="32"/>
        <v>46.907216494845358</v>
      </c>
      <c r="G142" s="118">
        <v>28</v>
      </c>
      <c r="H142" s="118">
        <v>388</v>
      </c>
      <c r="I142" s="118">
        <v>100</v>
      </c>
      <c r="J142" s="118">
        <v>488</v>
      </c>
      <c r="K142" s="177">
        <f t="shared" si="30"/>
        <v>1.2577319587628866</v>
      </c>
      <c r="L142" s="119">
        <v>27.5</v>
      </c>
      <c r="M142" s="175" t="s">
        <v>224</v>
      </c>
      <c r="N142" s="175"/>
    </row>
    <row r="143" spans="1:14" x14ac:dyDescent="0.25">
      <c r="A143" s="170" t="s">
        <v>148</v>
      </c>
      <c r="B143" s="170" t="s">
        <v>521</v>
      </c>
      <c r="C143" s="171" t="s">
        <v>217</v>
      </c>
      <c r="D143" s="200">
        <v>312</v>
      </c>
      <c r="E143" s="118">
        <v>6777</v>
      </c>
      <c r="F143" s="172">
        <f t="shared" si="32"/>
        <v>21.721153846153847</v>
      </c>
      <c r="G143" s="118">
        <v>19</v>
      </c>
      <c r="H143" s="118">
        <v>340</v>
      </c>
      <c r="I143" s="118">
        <v>10</v>
      </c>
      <c r="J143" s="118">
        <v>350</v>
      </c>
      <c r="K143" s="172">
        <f t="shared" si="30"/>
        <v>1.1217948717948718</v>
      </c>
      <c r="L143" s="119">
        <v>19</v>
      </c>
      <c r="M143" s="175"/>
      <c r="N143" s="175"/>
    </row>
    <row r="144" spans="1:14" x14ac:dyDescent="0.25">
      <c r="A144" s="170" t="s">
        <v>148</v>
      </c>
      <c r="B144" s="170" t="s">
        <v>325</v>
      </c>
      <c r="C144" s="171" t="s">
        <v>217</v>
      </c>
      <c r="D144" s="200">
        <v>164</v>
      </c>
      <c r="E144" s="118">
        <v>3252</v>
      </c>
      <c r="F144" s="172">
        <f>+E144/D144</f>
        <v>19.829268292682926</v>
      </c>
      <c r="G144" s="118">
        <v>11</v>
      </c>
      <c r="H144" s="118">
        <v>168</v>
      </c>
      <c r="I144" s="118">
        <v>0</v>
      </c>
      <c r="J144" s="118">
        <v>168</v>
      </c>
      <c r="K144" s="172">
        <f t="shared" si="30"/>
        <v>1.024390243902439</v>
      </c>
      <c r="L144" s="119">
        <v>40</v>
      </c>
      <c r="M144" s="175"/>
      <c r="N144" s="175" t="s">
        <v>224</v>
      </c>
    </row>
    <row r="145" spans="1:14" x14ac:dyDescent="0.25">
      <c r="A145" s="170" t="s">
        <v>148</v>
      </c>
      <c r="B145" s="170" t="s">
        <v>522</v>
      </c>
      <c r="C145" s="199" t="s">
        <v>217</v>
      </c>
      <c r="D145" s="200">
        <v>354</v>
      </c>
      <c r="E145" s="118">
        <v>6625</v>
      </c>
      <c r="F145" s="172">
        <f>+E145/D145</f>
        <v>18.714689265536723</v>
      </c>
      <c r="G145" s="118">
        <v>18</v>
      </c>
      <c r="H145" s="118">
        <v>350</v>
      </c>
      <c r="I145" s="118">
        <v>50</v>
      </c>
      <c r="J145" s="118">
        <v>400</v>
      </c>
      <c r="K145" s="172">
        <f>+J145/D145</f>
        <v>1.1299435028248588</v>
      </c>
      <c r="L145" s="119">
        <v>35</v>
      </c>
      <c r="M145" s="175"/>
      <c r="N145" s="175"/>
    </row>
    <row r="146" spans="1:14" x14ac:dyDescent="0.25">
      <c r="A146" s="170" t="s">
        <v>148</v>
      </c>
      <c r="B146" s="170" t="s">
        <v>269</v>
      </c>
      <c r="C146" s="171" t="s">
        <v>222</v>
      </c>
      <c r="D146" s="200">
        <v>102</v>
      </c>
      <c r="E146" s="118">
        <v>2103</v>
      </c>
      <c r="F146" s="172">
        <f t="shared" si="32"/>
        <v>20.617647058823529</v>
      </c>
      <c r="G146" s="118">
        <v>6</v>
      </c>
      <c r="H146" s="118">
        <v>108</v>
      </c>
      <c r="I146" s="118">
        <v>10</v>
      </c>
      <c r="J146" s="118">
        <v>118</v>
      </c>
      <c r="K146" s="172">
        <f t="shared" si="30"/>
        <v>1.1568627450980393</v>
      </c>
      <c r="L146" s="119">
        <v>40</v>
      </c>
      <c r="M146" s="175"/>
      <c r="N146" s="175" t="s">
        <v>224</v>
      </c>
    </row>
    <row r="147" spans="1:14" x14ac:dyDescent="0.25">
      <c r="A147" s="170" t="s">
        <v>148</v>
      </c>
      <c r="B147" s="170" t="s">
        <v>523</v>
      </c>
      <c r="C147" s="199" t="s">
        <v>217</v>
      </c>
      <c r="D147" s="200">
        <v>82</v>
      </c>
      <c r="E147" s="208" t="s">
        <v>233</v>
      </c>
      <c r="F147" s="176" t="s">
        <v>233</v>
      </c>
      <c r="G147" s="208" t="s">
        <v>233</v>
      </c>
      <c r="H147" s="208" t="s">
        <v>233</v>
      </c>
      <c r="I147" s="208" t="s">
        <v>233</v>
      </c>
      <c r="J147" s="125" t="s">
        <v>233</v>
      </c>
      <c r="K147" s="176" t="s">
        <v>233</v>
      </c>
      <c r="L147" s="213" t="s">
        <v>233</v>
      </c>
      <c r="M147" s="219" t="s">
        <v>233</v>
      </c>
      <c r="N147" s="219" t="s">
        <v>233</v>
      </c>
    </row>
    <row r="148" spans="1:14" x14ac:dyDescent="0.25">
      <c r="A148" s="170" t="s">
        <v>148</v>
      </c>
      <c r="B148" s="170" t="s">
        <v>270</v>
      </c>
      <c r="C148" s="171" t="s">
        <v>217</v>
      </c>
      <c r="D148" s="200">
        <v>258</v>
      </c>
      <c r="E148" s="118">
        <v>1320</v>
      </c>
      <c r="F148" s="172">
        <f t="shared" si="32"/>
        <v>5.1162790697674421</v>
      </c>
      <c r="G148" s="118">
        <v>14</v>
      </c>
      <c r="H148" s="118">
        <v>30</v>
      </c>
      <c r="I148" s="118">
        <v>200</v>
      </c>
      <c r="J148" s="118">
        <v>230</v>
      </c>
      <c r="K148" s="172">
        <f t="shared" si="30"/>
        <v>0.89147286821705429</v>
      </c>
      <c r="L148" s="119">
        <v>32.5</v>
      </c>
      <c r="M148" s="175"/>
      <c r="N148" s="175" t="s">
        <v>224</v>
      </c>
    </row>
    <row r="149" spans="1:14" x14ac:dyDescent="0.25">
      <c r="A149" s="170" t="s">
        <v>148</v>
      </c>
      <c r="B149" s="170" t="s">
        <v>524</v>
      </c>
      <c r="C149" s="171" t="s">
        <v>217</v>
      </c>
      <c r="D149" s="200">
        <v>286</v>
      </c>
      <c r="E149" s="208" t="s">
        <v>233</v>
      </c>
      <c r="F149" s="176" t="s">
        <v>233</v>
      </c>
      <c r="G149" s="118">
        <v>17</v>
      </c>
      <c r="H149" s="118">
        <v>25</v>
      </c>
      <c r="I149" s="208" t="s">
        <v>233</v>
      </c>
      <c r="J149" s="118">
        <v>25</v>
      </c>
      <c r="K149" s="172">
        <f t="shared" si="30"/>
        <v>8.7412587412587409E-2</v>
      </c>
      <c r="L149" s="119">
        <v>35</v>
      </c>
      <c r="M149" s="175"/>
      <c r="N149" s="175"/>
    </row>
    <row r="150" spans="1:14" x14ac:dyDescent="0.25">
      <c r="A150" s="170" t="s">
        <v>148</v>
      </c>
      <c r="B150" s="170" t="s">
        <v>525</v>
      </c>
      <c r="C150" s="171" t="s">
        <v>218</v>
      </c>
      <c r="D150" s="200">
        <v>368</v>
      </c>
      <c r="E150" s="118">
        <v>6338</v>
      </c>
      <c r="F150" s="172">
        <f>+E150/D150</f>
        <v>17.222826086956523</v>
      </c>
      <c r="G150" s="208" t="s">
        <v>233</v>
      </c>
      <c r="H150" s="208" t="s">
        <v>233</v>
      </c>
      <c r="I150" s="208" t="s">
        <v>233</v>
      </c>
      <c r="J150" s="125" t="s">
        <v>233</v>
      </c>
      <c r="K150" s="176" t="s">
        <v>233</v>
      </c>
      <c r="L150" s="119">
        <v>30</v>
      </c>
      <c r="M150" s="175"/>
      <c r="N150" s="175"/>
    </row>
    <row r="151" spans="1:14" x14ac:dyDescent="0.25">
      <c r="A151" s="170" t="s">
        <v>148</v>
      </c>
      <c r="B151" s="170" t="s">
        <v>526</v>
      </c>
      <c r="C151" s="199" t="s">
        <v>217</v>
      </c>
      <c r="D151" s="200">
        <v>344</v>
      </c>
      <c r="E151" s="118">
        <v>2618</v>
      </c>
      <c r="F151" s="172">
        <f>+E151/D151</f>
        <v>7.6104651162790695</v>
      </c>
      <c r="G151" s="118">
        <v>20</v>
      </c>
      <c r="H151" s="118">
        <v>344</v>
      </c>
      <c r="I151" s="118">
        <v>20</v>
      </c>
      <c r="J151" s="118">
        <v>364</v>
      </c>
      <c r="K151" s="172">
        <f t="shared" si="30"/>
        <v>1.058139534883721</v>
      </c>
      <c r="L151" s="119">
        <v>20</v>
      </c>
      <c r="M151" s="175"/>
      <c r="N151" s="175"/>
    </row>
    <row r="152" spans="1:14" x14ac:dyDescent="0.25">
      <c r="A152" s="170" t="s">
        <v>256</v>
      </c>
      <c r="B152" s="170" t="s">
        <v>527</v>
      </c>
      <c r="C152" s="199" t="s">
        <v>217</v>
      </c>
      <c r="D152" s="200">
        <v>32</v>
      </c>
      <c r="E152" s="208" t="s">
        <v>233</v>
      </c>
      <c r="F152" s="176" t="s">
        <v>233</v>
      </c>
      <c r="G152" s="118">
        <v>6</v>
      </c>
      <c r="H152" s="118">
        <v>32</v>
      </c>
      <c r="I152" s="208" t="s">
        <v>233</v>
      </c>
      <c r="J152" s="118">
        <v>32</v>
      </c>
      <c r="K152" s="172">
        <f>+J152/D152</f>
        <v>1</v>
      </c>
      <c r="L152" s="119">
        <v>3</v>
      </c>
      <c r="M152" s="175"/>
      <c r="N152" s="175"/>
    </row>
    <row r="153" spans="1:14" x14ac:dyDescent="0.25">
      <c r="A153" s="170" t="s">
        <v>178</v>
      </c>
      <c r="B153" s="170" t="s">
        <v>250</v>
      </c>
      <c r="C153" s="199" t="s">
        <v>222</v>
      </c>
      <c r="D153" s="200">
        <v>435</v>
      </c>
      <c r="E153" s="118">
        <v>13044</v>
      </c>
      <c r="F153" s="172">
        <f>+E153/D153</f>
        <v>29.986206896551725</v>
      </c>
      <c r="G153" s="118">
        <v>24</v>
      </c>
      <c r="H153" s="118">
        <v>438</v>
      </c>
      <c r="I153" s="118">
        <v>175</v>
      </c>
      <c r="J153" s="118">
        <v>613</v>
      </c>
      <c r="K153" s="172">
        <f>+J153/D153</f>
        <v>1.4091954022988507</v>
      </c>
      <c r="L153" s="119">
        <v>37.5</v>
      </c>
      <c r="M153" s="175" t="s">
        <v>224</v>
      </c>
      <c r="N153" s="175" t="s">
        <v>224</v>
      </c>
    </row>
    <row r="154" spans="1:14" x14ac:dyDescent="0.25">
      <c r="A154" s="170" t="s">
        <v>178</v>
      </c>
      <c r="B154" s="170" t="s">
        <v>187</v>
      </c>
      <c r="C154" s="220" t="s">
        <v>606</v>
      </c>
      <c r="D154" s="200">
        <v>285</v>
      </c>
      <c r="E154" s="118">
        <v>11585</v>
      </c>
      <c r="F154" s="172">
        <f t="shared" si="32"/>
        <v>40.649122807017541</v>
      </c>
      <c r="G154" s="118">
        <v>14</v>
      </c>
      <c r="H154" s="118">
        <v>298</v>
      </c>
      <c r="I154" s="118">
        <v>180</v>
      </c>
      <c r="J154" s="118">
        <v>478</v>
      </c>
      <c r="K154" s="172">
        <f t="shared" si="30"/>
        <v>1.6771929824561405</v>
      </c>
      <c r="L154" s="119">
        <v>37</v>
      </c>
      <c r="M154" s="175" t="s">
        <v>224</v>
      </c>
      <c r="N154" s="175" t="s">
        <v>224</v>
      </c>
    </row>
    <row r="155" spans="1:14" x14ac:dyDescent="0.25">
      <c r="A155" s="170" t="s">
        <v>178</v>
      </c>
      <c r="B155" s="170" t="s">
        <v>191</v>
      </c>
      <c r="C155" s="220" t="s">
        <v>223</v>
      </c>
      <c r="D155" s="200">
        <v>355</v>
      </c>
      <c r="E155" s="118">
        <v>14320</v>
      </c>
      <c r="F155" s="172">
        <f t="shared" si="32"/>
        <v>40.338028169014088</v>
      </c>
      <c r="G155" s="118">
        <v>17</v>
      </c>
      <c r="H155" s="118">
        <v>368</v>
      </c>
      <c r="I155" s="118">
        <v>350</v>
      </c>
      <c r="J155" s="118">
        <v>718</v>
      </c>
      <c r="K155" s="172">
        <f t="shared" si="30"/>
        <v>2.0225352112676056</v>
      </c>
      <c r="L155" s="119">
        <v>35</v>
      </c>
      <c r="M155" s="175" t="s">
        <v>224</v>
      </c>
      <c r="N155" s="175" t="s">
        <v>224</v>
      </c>
    </row>
    <row r="156" spans="1:14" x14ac:dyDescent="0.25">
      <c r="A156" s="170" t="s">
        <v>178</v>
      </c>
      <c r="B156" s="170" t="s">
        <v>197</v>
      </c>
      <c r="C156" s="171" t="s">
        <v>222</v>
      </c>
      <c r="D156" s="200">
        <v>387</v>
      </c>
      <c r="E156" s="118">
        <v>18989</v>
      </c>
      <c r="F156" s="172">
        <f t="shared" si="32"/>
        <v>49.067183462532299</v>
      </c>
      <c r="G156" s="118">
        <v>24</v>
      </c>
      <c r="H156" s="118">
        <v>400</v>
      </c>
      <c r="I156" s="118">
        <v>200</v>
      </c>
      <c r="J156" s="118">
        <v>600</v>
      </c>
      <c r="K156" s="172">
        <f t="shared" si="30"/>
        <v>1.5503875968992249</v>
      </c>
      <c r="L156" s="119">
        <v>38</v>
      </c>
      <c r="M156" s="175" t="s">
        <v>224</v>
      </c>
      <c r="N156" s="175" t="s">
        <v>224</v>
      </c>
    </row>
    <row r="157" spans="1:14" x14ac:dyDescent="0.25">
      <c r="A157" s="170" t="s">
        <v>364</v>
      </c>
      <c r="B157" s="170" t="s">
        <v>271</v>
      </c>
      <c r="C157" s="171" t="s">
        <v>216</v>
      </c>
      <c r="D157" s="200">
        <v>287</v>
      </c>
      <c r="E157" s="118">
        <v>3961</v>
      </c>
      <c r="F157" s="172">
        <f t="shared" si="32"/>
        <v>13.801393728222996</v>
      </c>
      <c r="G157" s="118">
        <v>17</v>
      </c>
      <c r="H157" s="118">
        <v>300</v>
      </c>
      <c r="I157" s="118">
        <v>12</v>
      </c>
      <c r="J157" s="118">
        <v>312</v>
      </c>
      <c r="K157" s="172">
        <f t="shared" si="30"/>
        <v>1.0871080139372822</v>
      </c>
      <c r="L157" s="119">
        <v>40</v>
      </c>
      <c r="M157" s="175" t="s">
        <v>224</v>
      </c>
      <c r="N157" s="175" t="s">
        <v>224</v>
      </c>
    </row>
    <row r="158" spans="1:14" x14ac:dyDescent="0.25">
      <c r="A158" s="170" t="s">
        <v>364</v>
      </c>
      <c r="B158" s="170" t="s">
        <v>326</v>
      </c>
      <c r="C158" s="171" t="s">
        <v>216</v>
      </c>
      <c r="D158" s="200">
        <v>332</v>
      </c>
      <c r="E158" s="118">
        <v>1812</v>
      </c>
      <c r="F158" s="172">
        <f t="shared" si="32"/>
        <v>5.4578313253012052</v>
      </c>
      <c r="G158" s="118">
        <v>22</v>
      </c>
      <c r="H158" s="118">
        <v>396</v>
      </c>
      <c r="I158" s="118">
        <v>25</v>
      </c>
      <c r="J158" s="118">
        <v>421</v>
      </c>
      <c r="K158" s="172">
        <f t="shared" si="30"/>
        <v>1.2680722891566265</v>
      </c>
      <c r="L158" s="119">
        <v>33</v>
      </c>
      <c r="M158" s="175" t="s">
        <v>224</v>
      </c>
      <c r="N158" s="175" t="s">
        <v>224</v>
      </c>
    </row>
    <row r="159" spans="1:14" x14ac:dyDescent="0.25">
      <c r="A159" s="170" t="s">
        <v>364</v>
      </c>
      <c r="B159" s="170" t="s">
        <v>528</v>
      </c>
      <c r="C159" s="171" t="s">
        <v>216</v>
      </c>
      <c r="D159" s="200">
        <v>312</v>
      </c>
      <c r="E159" s="118">
        <v>3560</v>
      </c>
      <c r="F159" s="172">
        <f t="shared" si="32"/>
        <v>11.410256410256411</v>
      </c>
      <c r="G159" s="118">
        <v>17</v>
      </c>
      <c r="H159" s="118">
        <v>312</v>
      </c>
      <c r="I159" s="118">
        <v>30</v>
      </c>
      <c r="J159" s="118">
        <v>342</v>
      </c>
      <c r="K159" s="172">
        <f t="shared" si="30"/>
        <v>1.0961538461538463</v>
      </c>
      <c r="L159" s="119">
        <v>40</v>
      </c>
      <c r="M159" s="175" t="s">
        <v>224</v>
      </c>
      <c r="N159" s="175" t="s">
        <v>224</v>
      </c>
    </row>
    <row r="160" spans="1:14" x14ac:dyDescent="0.25">
      <c r="A160" s="170" t="s">
        <v>364</v>
      </c>
      <c r="B160" s="170" t="s">
        <v>190</v>
      </c>
      <c r="C160" s="171" t="s">
        <v>216</v>
      </c>
      <c r="D160" s="200">
        <v>293</v>
      </c>
      <c r="E160" s="118">
        <v>2893</v>
      </c>
      <c r="F160" s="172">
        <f>+E160/D160</f>
        <v>9.8737201365187719</v>
      </c>
      <c r="G160" s="118">
        <v>18</v>
      </c>
      <c r="H160" s="118">
        <v>293</v>
      </c>
      <c r="I160" s="118">
        <v>40</v>
      </c>
      <c r="J160" s="118">
        <v>333</v>
      </c>
      <c r="K160" s="172">
        <f t="shared" si="30"/>
        <v>1.1365187713310581</v>
      </c>
      <c r="L160" s="119">
        <v>40</v>
      </c>
      <c r="M160" s="175" t="s">
        <v>224</v>
      </c>
      <c r="N160" s="175" t="s">
        <v>224</v>
      </c>
    </row>
    <row r="161" spans="1:14" x14ac:dyDescent="0.25">
      <c r="A161" s="170" t="s">
        <v>364</v>
      </c>
      <c r="B161" s="170" t="s">
        <v>327</v>
      </c>
      <c r="C161" s="171" t="s">
        <v>216</v>
      </c>
      <c r="D161" s="200">
        <v>326</v>
      </c>
      <c r="E161" s="118">
        <v>5560</v>
      </c>
      <c r="F161" s="172">
        <f t="shared" ref="F161:F181" si="33">+E161/D161</f>
        <v>17.05521472392638</v>
      </c>
      <c r="G161" s="118">
        <v>17</v>
      </c>
      <c r="H161" s="118">
        <v>323</v>
      </c>
      <c r="I161" s="208" t="s">
        <v>233</v>
      </c>
      <c r="J161" s="118">
        <v>323</v>
      </c>
      <c r="K161" s="172">
        <f t="shared" si="30"/>
        <v>0.99079754601226999</v>
      </c>
      <c r="L161" s="119">
        <v>25</v>
      </c>
      <c r="M161" s="175"/>
      <c r="N161" s="175"/>
    </row>
    <row r="162" spans="1:14" x14ac:dyDescent="0.25">
      <c r="A162" s="170" t="s">
        <v>364</v>
      </c>
      <c r="B162" s="170" t="s">
        <v>530</v>
      </c>
      <c r="C162" s="171" t="s">
        <v>217</v>
      </c>
      <c r="D162" s="200">
        <v>442</v>
      </c>
      <c r="E162" s="118">
        <v>4669</v>
      </c>
      <c r="F162" s="201">
        <f>+E162/D162</f>
        <v>10.563348416289593</v>
      </c>
      <c r="G162" s="118">
        <v>48</v>
      </c>
      <c r="H162" s="118">
        <v>884</v>
      </c>
      <c r="I162" s="118">
        <v>25</v>
      </c>
      <c r="J162" s="118">
        <v>909</v>
      </c>
      <c r="K162" s="172">
        <f t="shared" si="30"/>
        <v>2.0565610859728505</v>
      </c>
      <c r="L162" s="119">
        <v>37.5</v>
      </c>
      <c r="M162" s="175" t="s">
        <v>224</v>
      </c>
      <c r="N162" s="175" t="s">
        <v>224</v>
      </c>
    </row>
    <row r="163" spans="1:14" x14ac:dyDescent="0.25">
      <c r="A163" s="170" t="s">
        <v>184</v>
      </c>
      <c r="B163" s="170" t="s">
        <v>531</v>
      </c>
      <c r="C163" s="171" t="s">
        <v>216</v>
      </c>
      <c r="D163" s="200">
        <v>10</v>
      </c>
      <c r="E163" s="118">
        <v>2124</v>
      </c>
      <c r="F163" s="201">
        <f>+E163/D163</f>
        <v>212.4</v>
      </c>
      <c r="G163" s="118">
        <v>1</v>
      </c>
      <c r="H163" s="118">
        <v>12</v>
      </c>
      <c r="I163" s="118">
        <v>12</v>
      </c>
      <c r="J163" s="118">
        <v>24</v>
      </c>
      <c r="K163" s="172">
        <f>+J163/D163</f>
        <v>2.4</v>
      </c>
      <c r="L163" s="119">
        <v>32</v>
      </c>
      <c r="M163" s="175"/>
      <c r="N163" s="175"/>
    </row>
    <row r="164" spans="1:14" x14ac:dyDescent="0.25">
      <c r="A164" s="170" t="s">
        <v>184</v>
      </c>
      <c r="B164" s="170" t="s">
        <v>199</v>
      </c>
      <c r="C164" s="171" t="s">
        <v>216</v>
      </c>
      <c r="D164" s="200">
        <v>296</v>
      </c>
      <c r="E164" s="118">
        <v>11173</v>
      </c>
      <c r="F164" s="172">
        <f t="shared" si="33"/>
        <v>37.746621621621621</v>
      </c>
      <c r="G164" s="118">
        <v>18</v>
      </c>
      <c r="H164" s="118">
        <v>300</v>
      </c>
      <c r="I164" s="118">
        <v>70</v>
      </c>
      <c r="J164" s="118">
        <v>370</v>
      </c>
      <c r="K164" s="172">
        <f>+J164/D164</f>
        <v>1.25</v>
      </c>
      <c r="L164" s="119">
        <v>20</v>
      </c>
      <c r="M164" s="175"/>
      <c r="N164" s="175" t="s">
        <v>224</v>
      </c>
    </row>
    <row r="165" spans="1:14" x14ac:dyDescent="0.25">
      <c r="A165" s="170" t="s">
        <v>149</v>
      </c>
      <c r="B165" s="170" t="s">
        <v>328</v>
      </c>
      <c r="C165" s="171" t="s">
        <v>216</v>
      </c>
      <c r="D165" s="200">
        <v>290</v>
      </c>
      <c r="E165" s="118">
        <v>4898</v>
      </c>
      <c r="F165" s="201">
        <f t="shared" si="33"/>
        <v>16.889655172413793</v>
      </c>
      <c r="G165" s="118">
        <v>18</v>
      </c>
      <c r="H165" s="118">
        <v>435</v>
      </c>
      <c r="I165" s="118">
        <v>30</v>
      </c>
      <c r="J165" s="118">
        <v>465</v>
      </c>
      <c r="K165" s="172">
        <f t="shared" ref="K165:K183" si="34">+J165/D165</f>
        <v>1.603448275862069</v>
      </c>
      <c r="L165" s="119">
        <v>37.5</v>
      </c>
      <c r="M165" s="175" t="s">
        <v>224</v>
      </c>
      <c r="N165" s="175" t="s">
        <v>224</v>
      </c>
    </row>
    <row r="166" spans="1:14" x14ac:dyDescent="0.25">
      <c r="A166" s="170" t="s">
        <v>149</v>
      </c>
      <c r="B166" s="170" t="s">
        <v>329</v>
      </c>
      <c r="C166" s="171" t="s">
        <v>216</v>
      </c>
      <c r="D166" s="200">
        <v>301</v>
      </c>
      <c r="E166" s="118">
        <v>7296</v>
      </c>
      <c r="F166" s="172">
        <f t="shared" si="33"/>
        <v>24.239202657807308</v>
      </c>
      <c r="G166" s="118">
        <v>18</v>
      </c>
      <c r="H166" s="118">
        <v>301</v>
      </c>
      <c r="I166" s="118">
        <v>250</v>
      </c>
      <c r="J166" s="118">
        <v>551</v>
      </c>
      <c r="K166" s="172">
        <f t="shared" si="34"/>
        <v>1.830564784053156</v>
      </c>
      <c r="L166" s="119">
        <v>37.5</v>
      </c>
      <c r="M166" s="175" t="s">
        <v>224</v>
      </c>
      <c r="N166" s="175" t="s">
        <v>224</v>
      </c>
    </row>
    <row r="167" spans="1:14" x14ac:dyDescent="0.25">
      <c r="A167" s="170" t="s">
        <v>149</v>
      </c>
      <c r="B167" s="170" t="s">
        <v>330</v>
      </c>
      <c r="C167" s="171" t="s">
        <v>216</v>
      </c>
      <c r="D167" s="200">
        <v>303</v>
      </c>
      <c r="E167" s="118">
        <v>8002</v>
      </c>
      <c r="F167" s="172">
        <f t="shared" si="33"/>
        <v>26.409240924092408</v>
      </c>
      <c r="G167" s="118">
        <v>36</v>
      </c>
      <c r="H167" s="118">
        <v>606</v>
      </c>
      <c r="I167" s="118">
        <v>50</v>
      </c>
      <c r="J167" s="118">
        <v>656</v>
      </c>
      <c r="K167" s="172">
        <f t="shared" si="34"/>
        <v>2.165016501650165</v>
      </c>
      <c r="L167" s="119">
        <v>37.5</v>
      </c>
      <c r="M167" s="175" t="s">
        <v>224</v>
      </c>
      <c r="N167" s="175" t="s">
        <v>224</v>
      </c>
    </row>
    <row r="168" spans="1:14" x14ac:dyDescent="0.25">
      <c r="A168" s="170" t="s">
        <v>149</v>
      </c>
      <c r="B168" s="170" t="s">
        <v>331</v>
      </c>
      <c r="C168" s="171" t="s">
        <v>216</v>
      </c>
      <c r="D168" s="221">
        <v>5</v>
      </c>
      <c r="E168" s="118">
        <v>1</v>
      </c>
      <c r="F168" s="172">
        <f t="shared" si="33"/>
        <v>0.2</v>
      </c>
      <c r="G168" s="118">
        <v>1</v>
      </c>
      <c r="H168" s="118">
        <v>5</v>
      </c>
      <c r="I168" s="118">
        <v>5</v>
      </c>
      <c r="J168" s="118">
        <v>10</v>
      </c>
      <c r="K168" s="172">
        <f t="shared" si="34"/>
        <v>2</v>
      </c>
      <c r="L168" s="119">
        <v>35</v>
      </c>
      <c r="M168" s="175"/>
      <c r="N168" s="175" t="s">
        <v>224</v>
      </c>
    </row>
    <row r="169" spans="1:14" x14ac:dyDescent="0.25">
      <c r="A169" s="170" t="s">
        <v>149</v>
      </c>
      <c r="B169" s="170" t="s">
        <v>332</v>
      </c>
      <c r="C169" s="171" t="s">
        <v>216</v>
      </c>
      <c r="D169" s="200">
        <v>16</v>
      </c>
      <c r="E169" s="118">
        <v>6</v>
      </c>
      <c r="F169" s="172">
        <f t="shared" si="33"/>
        <v>0.375</v>
      </c>
      <c r="G169" s="118">
        <v>2</v>
      </c>
      <c r="H169" s="118">
        <v>16</v>
      </c>
      <c r="I169" s="118">
        <v>12</v>
      </c>
      <c r="J169" s="118">
        <v>28</v>
      </c>
      <c r="K169" s="172">
        <f t="shared" si="34"/>
        <v>1.75</v>
      </c>
      <c r="L169" s="119">
        <v>35</v>
      </c>
      <c r="M169" s="175"/>
      <c r="N169" s="175"/>
    </row>
    <row r="170" spans="1:14" x14ac:dyDescent="0.25">
      <c r="A170" s="170" t="s">
        <v>181</v>
      </c>
      <c r="B170" s="170" t="s">
        <v>532</v>
      </c>
      <c r="C170" s="171" t="s">
        <v>220</v>
      </c>
      <c r="D170" s="200">
        <v>192</v>
      </c>
      <c r="E170" s="118">
        <v>1540</v>
      </c>
      <c r="F170" s="172">
        <f t="shared" si="33"/>
        <v>8.0208333333333339</v>
      </c>
      <c r="G170" s="118">
        <v>13</v>
      </c>
      <c r="H170" s="118">
        <v>200</v>
      </c>
      <c r="I170" s="118">
        <v>189</v>
      </c>
      <c r="J170" s="118">
        <v>389</v>
      </c>
      <c r="K170" s="172">
        <f t="shared" si="34"/>
        <v>2.0260416666666665</v>
      </c>
      <c r="L170" s="119">
        <v>30</v>
      </c>
      <c r="M170" s="175"/>
      <c r="N170" s="175"/>
    </row>
    <row r="171" spans="1:14" x14ac:dyDescent="0.25">
      <c r="A171" s="170" t="s">
        <v>181</v>
      </c>
      <c r="B171" s="170" t="s">
        <v>533</v>
      </c>
      <c r="C171" s="171" t="s">
        <v>221</v>
      </c>
      <c r="D171" s="200">
        <v>186</v>
      </c>
      <c r="E171" s="118">
        <v>3456</v>
      </c>
      <c r="F171" s="172">
        <f t="shared" si="33"/>
        <v>18.580645161290324</v>
      </c>
      <c r="G171" s="118">
        <v>10</v>
      </c>
      <c r="H171" s="118">
        <v>186</v>
      </c>
      <c r="I171" s="118">
        <v>186</v>
      </c>
      <c r="J171" s="118">
        <v>372</v>
      </c>
      <c r="K171" s="172">
        <f t="shared" si="34"/>
        <v>2</v>
      </c>
      <c r="L171" s="119">
        <v>27.5</v>
      </c>
      <c r="M171" s="175"/>
      <c r="N171" s="175"/>
    </row>
    <row r="172" spans="1:14" x14ac:dyDescent="0.25">
      <c r="A172" s="170" t="s">
        <v>179</v>
      </c>
      <c r="B172" s="170" t="s">
        <v>251</v>
      </c>
      <c r="C172" s="171" t="s">
        <v>216</v>
      </c>
      <c r="D172" s="200">
        <v>212</v>
      </c>
      <c r="E172" s="118">
        <v>3575</v>
      </c>
      <c r="F172" s="172">
        <f t="shared" si="33"/>
        <v>16.863207547169811</v>
      </c>
      <c r="G172" s="118">
        <v>14</v>
      </c>
      <c r="H172" s="118">
        <v>233</v>
      </c>
      <c r="I172" s="118">
        <v>100</v>
      </c>
      <c r="J172" s="118">
        <v>333</v>
      </c>
      <c r="K172" s="172">
        <f t="shared" si="34"/>
        <v>1.570754716981132</v>
      </c>
      <c r="L172" s="119">
        <v>34</v>
      </c>
      <c r="M172" s="175"/>
      <c r="N172" s="175"/>
    </row>
    <row r="173" spans="1:14" x14ac:dyDescent="0.25">
      <c r="A173" s="170" t="s">
        <v>183</v>
      </c>
      <c r="B173" s="170" t="s">
        <v>333</v>
      </c>
      <c r="C173" s="171" t="s">
        <v>216</v>
      </c>
      <c r="D173" s="200">
        <v>311</v>
      </c>
      <c r="E173" s="118">
        <v>4470</v>
      </c>
      <c r="F173" s="201">
        <f t="shared" si="33"/>
        <v>14.37299035369775</v>
      </c>
      <c r="G173" s="118">
        <v>18</v>
      </c>
      <c r="H173" s="118">
        <v>320</v>
      </c>
      <c r="I173" s="118">
        <v>30</v>
      </c>
      <c r="J173" s="118">
        <v>350</v>
      </c>
      <c r="K173" s="172">
        <f t="shared" si="34"/>
        <v>1.1254019292604502</v>
      </c>
      <c r="L173" s="119">
        <v>35</v>
      </c>
      <c r="M173" s="175" t="s">
        <v>224</v>
      </c>
      <c r="N173" s="175" t="s">
        <v>224</v>
      </c>
    </row>
    <row r="174" spans="1:14" x14ac:dyDescent="0.25">
      <c r="A174" s="170" t="s">
        <v>183</v>
      </c>
      <c r="B174" s="170" t="s">
        <v>534</v>
      </c>
      <c r="C174" s="171" t="s">
        <v>216</v>
      </c>
      <c r="D174" s="200">
        <v>307</v>
      </c>
      <c r="E174" s="208" t="s">
        <v>233</v>
      </c>
      <c r="F174" s="222" t="s">
        <v>233</v>
      </c>
      <c r="G174" s="118">
        <v>18</v>
      </c>
      <c r="H174" s="118">
        <v>300</v>
      </c>
      <c r="I174" s="118">
        <v>20</v>
      </c>
      <c r="J174" s="118">
        <v>320</v>
      </c>
      <c r="K174" s="172">
        <f t="shared" si="34"/>
        <v>1.0423452768729642</v>
      </c>
      <c r="L174" s="119">
        <v>40</v>
      </c>
      <c r="M174" s="175" t="s">
        <v>224</v>
      </c>
      <c r="N174" s="175" t="s">
        <v>224</v>
      </c>
    </row>
    <row r="175" spans="1:14" x14ac:dyDescent="0.25">
      <c r="A175" s="170" t="s">
        <v>183</v>
      </c>
      <c r="B175" s="170" t="s">
        <v>196</v>
      </c>
      <c r="C175" s="171" t="s">
        <v>216</v>
      </c>
      <c r="D175" s="200">
        <v>329</v>
      </c>
      <c r="E175" s="118">
        <v>3563</v>
      </c>
      <c r="F175" s="201">
        <f t="shared" si="33"/>
        <v>10.829787234042554</v>
      </c>
      <c r="G175" s="118">
        <v>19</v>
      </c>
      <c r="H175" s="118">
        <v>329</v>
      </c>
      <c r="I175" s="118">
        <v>8</v>
      </c>
      <c r="J175" s="118">
        <v>337</v>
      </c>
      <c r="K175" s="172">
        <f t="shared" si="34"/>
        <v>1.0243161094224924</v>
      </c>
      <c r="L175" s="119">
        <v>40</v>
      </c>
      <c r="M175" s="175" t="s">
        <v>224</v>
      </c>
      <c r="N175" s="175" t="s">
        <v>224</v>
      </c>
    </row>
    <row r="176" spans="1:14" x14ac:dyDescent="0.25">
      <c r="A176" s="170" t="s">
        <v>257</v>
      </c>
      <c r="B176" s="170" t="s">
        <v>535</v>
      </c>
      <c r="C176" s="171" t="s">
        <v>222</v>
      </c>
      <c r="D176" s="200">
        <v>434</v>
      </c>
      <c r="E176" s="118">
        <v>3953</v>
      </c>
      <c r="F176" s="172">
        <f t="shared" si="33"/>
        <v>9.1082949308755765</v>
      </c>
      <c r="G176" s="118">
        <v>22</v>
      </c>
      <c r="H176" s="118">
        <v>440</v>
      </c>
      <c r="I176" s="118">
        <v>0</v>
      </c>
      <c r="J176" s="118">
        <v>440</v>
      </c>
      <c r="K176" s="172">
        <f t="shared" si="34"/>
        <v>1.0138248847926268</v>
      </c>
      <c r="L176" s="119">
        <v>22</v>
      </c>
      <c r="M176" s="175"/>
      <c r="N176" s="175"/>
    </row>
    <row r="177" spans="1:25" x14ac:dyDescent="0.25">
      <c r="A177" s="170" t="s">
        <v>365</v>
      </c>
      <c r="B177" s="170" t="s">
        <v>334</v>
      </c>
      <c r="C177" s="171" t="s">
        <v>216</v>
      </c>
      <c r="D177" s="200">
        <v>37</v>
      </c>
      <c r="E177" s="208" t="s">
        <v>233</v>
      </c>
      <c r="F177" s="176" t="s">
        <v>233</v>
      </c>
      <c r="G177" s="118">
        <v>3</v>
      </c>
      <c r="H177" s="118">
        <v>35</v>
      </c>
      <c r="I177" s="118">
        <v>10</v>
      </c>
      <c r="J177" s="118">
        <v>45</v>
      </c>
      <c r="K177" s="172">
        <f>+J177/D177</f>
        <v>1.2162162162162162</v>
      </c>
      <c r="L177" s="119">
        <v>35</v>
      </c>
      <c r="M177" s="175" t="s">
        <v>224</v>
      </c>
      <c r="N177" s="175" t="s">
        <v>224</v>
      </c>
    </row>
    <row r="178" spans="1:25" x14ac:dyDescent="0.25">
      <c r="A178" s="170" t="s">
        <v>365</v>
      </c>
      <c r="B178" s="170" t="s">
        <v>335</v>
      </c>
      <c r="C178" s="171" t="s">
        <v>216</v>
      </c>
      <c r="D178" s="200">
        <v>304</v>
      </c>
      <c r="E178" s="118">
        <v>5412</v>
      </c>
      <c r="F178" s="172">
        <f>+E178/D178</f>
        <v>17.80263157894737</v>
      </c>
      <c r="G178" s="118">
        <v>19</v>
      </c>
      <c r="H178" s="118">
        <v>325</v>
      </c>
      <c r="I178" s="118">
        <v>50</v>
      </c>
      <c r="J178" s="118">
        <v>375</v>
      </c>
      <c r="K178" s="172">
        <f>+J178/D178</f>
        <v>1.2335526315789473</v>
      </c>
      <c r="L178" s="119">
        <v>40</v>
      </c>
      <c r="M178" s="175"/>
      <c r="N178" s="175" t="s">
        <v>224</v>
      </c>
    </row>
    <row r="179" spans="1:25" x14ac:dyDescent="0.25">
      <c r="A179" s="170" t="s">
        <v>365</v>
      </c>
      <c r="B179" s="170" t="s">
        <v>536</v>
      </c>
      <c r="C179" s="171" t="s">
        <v>216</v>
      </c>
      <c r="D179" s="200">
        <v>390</v>
      </c>
      <c r="E179" s="118">
        <v>7169</v>
      </c>
      <c r="F179" s="172">
        <f t="shared" si="33"/>
        <v>18.382051282051282</v>
      </c>
      <c r="G179" s="118">
        <v>25</v>
      </c>
      <c r="H179" s="118">
        <v>398</v>
      </c>
      <c r="I179" s="118">
        <v>10</v>
      </c>
      <c r="J179" s="118">
        <v>408</v>
      </c>
      <c r="K179" s="172">
        <f t="shared" si="34"/>
        <v>1.0461538461538462</v>
      </c>
      <c r="L179" s="119">
        <v>40</v>
      </c>
      <c r="M179" s="175" t="s">
        <v>224</v>
      </c>
      <c r="N179" s="175" t="s">
        <v>224</v>
      </c>
    </row>
    <row r="180" spans="1:25" x14ac:dyDescent="0.25">
      <c r="A180" s="170" t="s">
        <v>174</v>
      </c>
      <c r="B180" s="170" t="s">
        <v>202</v>
      </c>
      <c r="C180" s="171" t="s">
        <v>219</v>
      </c>
      <c r="D180" s="200">
        <v>166</v>
      </c>
      <c r="E180" s="118">
        <v>2708</v>
      </c>
      <c r="F180" s="172">
        <f t="shared" si="33"/>
        <v>16.313253012048193</v>
      </c>
      <c r="G180" s="118">
        <v>9</v>
      </c>
      <c r="H180" s="118">
        <v>166</v>
      </c>
      <c r="I180" s="118">
        <v>90</v>
      </c>
      <c r="J180" s="118">
        <v>256</v>
      </c>
      <c r="K180" s="172">
        <f t="shared" si="34"/>
        <v>1.5421686746987953</v>
      </c>
      <c r="L180" s="119">
        <v>40</v>
      </c>
      <c r="M180" s="175" t="s">
        <v>224</v>
      </c>
      <c r="N180" s="175"/>
    </row>
    <row r="181" spans="1:25" x14ac:dyDescent="0.25">
      <c r="A181" s="170" t="s">
        <v>174</v>
      </c>
      <c r="B181" s="170" t="s">
        <v>173</v>
      </c>
      <c r="C181" s="171" t="s">
        <v>275</v>
      </c>
      <c r="D181" s="200">
        <v>187</v>
      </c>
      <c r="E181" s="118">
        <v>8141</v>
      </c>
      <c r="F181" s="172">
        <f t="shared" si="33"/>
        <v>43.534759358288767</v>
      </c>
      <c r="G181" s="118">
        <v>8</v>
      </c>
      <c r="H181" s="118">
        <v>157</v>
      </c>
      <c r="I181" s="118">
        <v>100</v>
      </c>
      <c r="J181" s="118">
        <v>257</v>
      </c>
      <c r="K181" s="172">
        <f t="shared" si="34"/>
        <v>1.374331550802139</v>
      </c>
      <c r="L181" s="119">
        <v>40</v>
      </c>
      <c r="M181" s="175" t="s">
        <v>224</v>
      </c>
      <c r="N181" s="175" t="s">
        <v>224</v>
      </c>
    </row>
    <row r="182" spans="1:25" x14ac:dyDescent="0.25">
      <c r="A182" s="170" t="s">
        <v>174</v>
      </c>
      <c r="B182" s="170" t="s">
        <v>175</v>
      </c>
      <c r="C182" s="171" t="s">
        <v>273</v>
      </c>
      <c r="D182" s="200">
        <v>164</v>
      </c>
      <c r="E182" s="118">
        <v>6479</v>
      </c>
      <c r="F182" s="172">
        <f>+E182/D182</f>
        <v>39.506097560975611</v>
      </c>
      <c r="G182" s="118">
        <v>8</v>
      </c>
      <c r="H182" s="118">
        <v>164</v>
      </c>
      <c r="I182" s="118">
        <v>100</v>
      </c>
      <c r="J182" s="118">
        <v>264</v>
      </c>
      <c r="K182" s="172">
        <f t="shared" si="34"/>
        <v>1.6097560975609757</v>
      </c>
      <c r="L182" s="119">
        <v>40</v>
      </c>
      <c r="M182" s="175" t="s">
        <v>224</v>
      </c>
      <c r="N182" s="175" t="s">
        <v>224</v>
      </c>
    </row>
    <row r="183" spans="1:25" x14ac:dyDescent="0.25">
      <c r="A183" s="170" t="s">
        <v>366</v>
      </c>
      <c r="B183" s="170" t="s">
        <v>502</v>
      </c>
      <c r="C183" s="171" t="s">
        <v>216</v>
      </c>
      <c r="D183" s="200">
        <v>350</v>
      </c>
      <c r="E183" s="118">
        <v>5038</v>
      </c>
      <c r="F183" s="172">
        <f>+E183/D183</f>
        <v>14.394285714285715</v>
      </c>
      <c r="G183" s="118">
        <v>30</v>
      </c>
      <c r="H183" s="118">
        <v>400</v>
      </c>
      <c r="I183" s="118">
        <v>50</v>
      </c>
      <c r="J183" s="118">
        <v>450</v>
      </c>
      <c r="K183" s="172">
        <f t="shared" si="34"/>
        <v>1.2857142857142858</v>
      </c>
      <c r="L183" s="119">
        <v>35</v>
      </c>
      <c r="M183" s="175" t="s">
        <v>224</v>
      </c>
      <c r="N183" s="175"/>
    </row>
    <row r="184" spans="1:25" s="136" customFormat="1" ht="12.75" x14ac:dyDescent="0.2">
      <c r="A184" s="179"/>
      <c r="B184" s="180"/>
      <c r="C184" s="205" t="s">
        <v>7</v>
      </c>
      <c r="D184" s="182">
        <f>SUM(D122:D183)</f>
        <v>15601</v>
      </c>
      <c r="E184" s="182">
        <f>SUM(E122:E183)</f>
        <v>295766</v>
      </c>
      <c r="F184" s="182"/>
      <c r="G184" s="182">
        <f>SUM(G122:G183)</f>
        <v>923</v>
      </c>
      <c r="H184" s="182">
        <f>SUM(H122:H183)</f>
        <v>15446</v>
      </c>
      <c r="I184" s="182">
        <f>SUM(I122:I183)</f>
        <v>4166</v>
      </c>
      <c r="J184" s="182">
        <f>SUM(J122:J183)</f>
        <v>19612</v>
      </c>
      <c r="K184" s="183" t="s">
        <v>227</v>
      </c>
      <c r="L184" s="189">
        <f>SUM(L122:L183)</f>
        <v>2067.5</v>
      </c>
      <c r="M184" s="185">
        <v>33</v>
      </c>
      <c r="N184" s="185">
        <v>34</v>
      </c>
    </row>
    <row r="185" spans="1:25" s="142" customFormat="1" ht="12.75" x14ac:dyDescent="0.2">
      <c r="A185" s="186"/>
      <c r="B185" s="187"/>
      <c r="C185" s="188" t="s">
        <v>8</v>
      </c>
      <c r="D185" s="182">
        <f t="shared" ref="D185:J185" si="35">AVERAGE(D122:D183)</f>
        <v>251.62903225806451</v>
      </c>
      <c r="E185" s="182">
        <f t="shared" si="35"/>
        <v>5687.8076923076924</v>
      </c>
      <c r="F185" s="189">
        <f>+E184/(D184-D177-D174-D152-D149-D147-D141-D137-D136-D135-D130)</f>
        <v>20.593649909483357</v>
      </c>
      <c r="G185" s="189">
        <f t="shared" si="35"/>
        <v>15.64406779661017</v>
      </c>
      <c r="H185" s="189">
        <f t="shared" si="35"/>
        <v>261.79661016949154</v>
      </c>
      <c r="I185" s="189">
        <f t="shared" si="35"/>
        <v>75.74545454545455</v>
      </c>
      <c r="J185" s="189">
        <f t="shared" si="35"/>
        <v>332.40677966101697</v>
      </c>
      <c r="K185" s="190">
        <f>+J184/(D184-D150-D147-D135)</f>
        <v>1.2947778437974515</v>
      </c>
      <c r="L185" s="189">
        <f>AVERAGE(L122:L183)</f>
        <v>33.893442622950822</v>
      </c>
      <c r="M185" s="185"/>
      <c r="N185" s="185"/>
    </row>
    <row r="186" spans="1:25" s="142" customFormat="1" ht="12.75" x14ac:dyDescent="0.2">
      <c r="A186" s="186"/>
      <c r="B186" s="187"/>
      <c r="C186" s="188" t="s">
        <v>9</v>
      </c>
      <c r="D186" s="182">
        <f t="shared" ref="D186:L186" si="36">MEDIAN(D122:D183)</f>
        <v>288.5</v>
      </c>
      <c r="E186" s="182">
        <f t="shared" si="36"/>
        <v>4968</v>
      </c>
      <c r="F186" s="189">
        <f t="shared" si="36"/>
        <v>17.578481143804396</v>
      </c>
      <c r="G186" s="189">
        <f t="shared" si="36"/>
        <v>17</v>
      </c>
      <c r="H186" s="189">
        <f t="shared" si="36"/>
        <v>298</v>
      </c>
      <c r="I186" s="189">
        <f t="shared" si="36"/>
        <v>35</v>
      </c>
      <c r="J186" s="189">
        <f t="shared" si="36"/>
        <v>342</v>
      </c>
      <c r="K186" s="189">
        <f t="shared" si="36"/>
        <v>1.2335526315789473</v>
      </c>
      <c r="L186" s="189">
        <f t="shared" si="36"/>
        <v>35</v>
      </c>
      <c r="M186" s="185"/>
      <c r="N186" s="185"/>
    </row>
    <row r="187" spans="1:25" s="142" customFormat="1" ht="12.75" x14ac:dyDescent="0.2">
      <c r="A187" s="191"/>
      <c r="B187" s="192"/>
      <c r="C187" s="188" t="s">
        <v>30</v>
      </c>
      <c r="D187" s="193"/>
      <c r="E187" s="194"/>
      <c r="F187" s="194"/>
      <c r="G187" s="194"/>
      <c r="H187" s="194"/>
      <c r="I187" s="194"/>
      <c r="J187" s="194"/>
      <c r="K187" s="194"/>
      <c r="L187" s="194"/>
      <c r="M187" s="195">
        <f>+M184/M121</f>
        <v>0.54098360655737709</v>
      </c>
      <c r="N187" s="195">
        <f>+N184/N121</f>
        <v>0.55737704918032782</v>
      </c>
    </row>
    <row r="188" spans="1:25" x14ac:dyDescent="0.25">
      <c r="C188" s="223"/>
      <c r="R188" s="152"/>
      <c r="W188" s="152"/>
      <c r="X188" s="152"/>
      <c r="Y188" s="152"/>
    </row>
    <row r="189" spans="1:25" x14ac:dyDescent="0.25">
      <c r="C189" s="223"/>
      <c r="R189" s="152"/>
      <c r="W189" s="152"/>
      <c r="X189" s="152"/>
      <c r="Y189" s="152"/>
    </row>
  </sheetData>
  <sheetProtection sheet="1" objects="1" scenarios="1"/>
  <mergeCells count="49">
    <mergeCell ref="A121:C121"/>
    <mergeCell ref="A105:C105"/>
    <mergeCell ref="E119:E120"/>
    <mergeCell ref="F119:F120"/>
    <mergeCell ref="G119:K119"/>
    <mergeCell ref="L119:L120"/>
    <mergeCell ref="M119:N119"/>
    <mergeCell ref="A82:C82"/>
    <mergeCell ref="E103:E104"/>
    <mergeCell ref="F103:F104"/>
    <mergeCell ref="G103:K103"/>
    <mergeCell ref="L103:L104"/>
    <mergeCell ref="M103:N103"/>
    <mergeCell ref="M80:N80"/>
    <mergeCell ref="A54:C54"/>
    <mergeCell ref="E67:E68"/>
    <mergeCell ref="F67:F68"/>
    <mergeCell ref="G67:K67"/>
    <mergeCell ref="L67:L68"/>
    <mergeCell ref="M67:N67"/>
    <mergeCell ref="A69:C69"/>
    <mergeCell ref="E80:E81"/>
    <mergeCell ref="F80:F81"/>
    <mergeCell ref="G80:K80"/>
    <mergeCell ref="L80:L81"/>
    <mergeCell ref="M52:N52"/>
    <mergeCell ref="A19:C19"/>
    <mergeCell ref="E22:E23"/>
    <mergeCell ref="F22:F23"/>
    <mergeCell ref="G22:K22"/>
    <mergeCell ref="L22:L23"/>
    <mergeCell ref="M22:N22"/>
    <mergeCell ref="A24:C24"/>
    <mergeCell ref="E52:E53"/>
    <mergeCell ref="F52:F53"/>
    <mergeCell ref="G52:K52"/>
    <mergeCell ref="L52:L53"/>
    <mergeCell ref="B14:D14"/>
    <mergeCell ref="E17:E18"/>
    <mergeCell ref="F17:F18"/>
    <mergeCell ref="G17:K17"/>
    <mergeCell ref="L17:L18"/>
    <mergeCell ref="M17:N17"/>
    <mergeCell ref="E5:E6"/>
    <mergeCell ref="F5:F6"/>
    <mergeCell ref="G5:J5"/>
    <mergeCell ref="K5:K6"/>
    <mergeCell ref="L5:L6"/>
    <mergeCell ref="M5:N5"/>
  </mergeCells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Libraries</vt:lpstr>
      <vt:lpstr>Staffing</vt:lpstr>
      <vt:lpstr>Expenditures</vt:lpstr>
      <vt:lpstr>Collections</vt:lpstr>
      <vt:lpstr>Technology</vt:lpstr>
      <vt:lpstr>Scheduling</vt:lpstr>
      <vt:lpstr>Pro environment</vt:lpstr>
      <vt:lpstr>Policies</vt:lpstr>
      <vt:lpstr>Student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Susan</dc:creator>
  <cp:lastModifiedBy>Bredenkamp, Paige</cp:lastModifiedBy>
  <cp:lastPrinted>2019-08-21T19:32:51Z</cp:lastPrinted>
  <dcterms:created xsi:type="dcterms:W3CDTF">2014-10-21T16:50:49Z</dcterms:created>
  <dcterms:modified xsi:type="dcterms:W3CDTF">2022-07-20T15:24:03Z</dcterms:modified>
</cp:coreProperties>
</file>