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istics\Public\2023\PLS\Final Reports\"/>
    </mc:Choice>
  </mc:AlternateContent>
  <xr:revisionPtr revIDLastSave="0" documentId="13_ncr:1_{8DAEDC1B-515A-4CB3-BD4D-5A1E5D77BF42}" xr6:coauthVersionLast="36" xr6:coauthVersionMax="36" xr10:uidLastSave="{00000000-0000-0000-0000-000000000000}"/>
  <bookViews>
    <workbookView xWindow="2310" yWindow="1170" windowWidth="14700" windowHeight="8145" tabRatio="711" activeTab="2" xr2:uid="{00000000-000D-0000-FFFF-FFFF00000000}"/>
  </bookViews>
  <sheets>
    <sheet name="General Info" sheetId="2" r:id="rId1"/>
    <sheet name="Outlets" sheetId="16" r:id="rId2"/>
    <sheet name="Staffing" sheetId="4" r:id="rId3"/>
    <sheet name="Expenditures" sheetId="5" r:id="rId4"/>
    <sheet name="Staff Expenditures" sheetId="6" r:id="rId5"/>
    <sheet name="Materials Expenditures" sheetId="7" r:id="rId6"/>
    <sheet name="Library Income" sheetId="8" r:id="rId7"/>
    <sheet name="Capital" sheetId="9" r:id="rId8"/>
    <sheet name="Hours and Use" sheetId="10" r:id="rId9"/>
    <sheet name="Collections" sheetId="11" r:id="rId10"/>
    <sheet name="Downloadables" sheetId="12" r:id="rId11"/>
    <sheet name="Circulation" sheetId="13" r:id="rId12"/>
    <sheet name="Electronic Resources" sheetId="14" r:id="rId13"/>
    <sheet name="Programs" sheetId="15" r:id="rId14"/>
    <sheet name="5 yr Trends" sheetId="17" r:id="rId15"/>
  </sheets>
  <calcPr calcId="191029"/>
</workbook>
</file>

<file path=xl/calcChain.xml><?xml version="1.0" encoding="utf-8"?>
<calcChain xmlns="http://schemas.openxmlformats.org/spreadsheetml/2006/main">
  <c r="G13" i="8" l="1"/>
  <c r="G33" i="9" l="1"/>
  <c r="C33" i="7"/>
  <c r="D33" i="7" s="1"/>
  <c r="D26" i="7"/>
  <c r="D27" i="7"/>
  <c r="D28" i="7"/>
  <c r="D29" i="7"/>
  <c r="D30" i="7"/>
  <c r="D31" i="7"/>
  <c r="H11" i="7"/>
  <c r="F18" i="7"/>
  <c r="H18" i="7"/>
  <c r="J18" i="7"/>
  <c r="C12" i="7"/>
  <c r="C32" i="7" l="1"/>
  <c r="C30" i="7"/>
  <c r="C28" i="7"/>
  <c r="C26" i="7"/>
  <c r="C22" i="7"/>
  <c r="C20" i="7"/>
  <c r="C18" i="7"/>
  <c r="C14" i="7"/>
  <c r="C10" i="7"/>
  <c r="C31" i="7"/>
  <c r="C29" i="7"/>
  <c r="C27" i="7"/>
  <c r="C23" i="7"/>
  <c r="C21" i="7"/>
  <c r="C19" i="7"/>
  <c r="C17" i="7"/>
  <c r="C13" i="7"/>
  <c r="C11" i="7"/>
  <c r="C9" i="7"/>
  <c r="C6" i="7"/>
  <c r="C5" i="7"/>
  <c r="E32" i="5"/>
  <c r="E30" i="5"/>
  <c r="E28" i="5"/>
  <c r="E26" i="5"/>
  <c r="E22" i="5"/>
  <c r="E20" i="5"/>
  <c r="E18" i="5"/>
  <c r="E14" i="5"/>
  <c r="E12" i="5"/>
  <c r="E10" i="5"/>
  <c r="E33" i="5"/>
  <c r="E31" i="5"/>
  <c r="E29" i="5"/>
  <c r="E27" i="5"/>
  <c r="E23" i="5"/>
  <c r="E21" i="5"/>
  <c r="E19" i="5"/>
  <c r="E17" i="5"/>
  <c r="E13" i="5"/>
  <c r="E11" i="5"/>
  <c r="E9" i="5"/>
  <c r="E6" i="5"/>
  <c r="E5" i="5"/>
  <c r="D33" i="15"/>
  <c r="D31" i="15"/>
  <c r="D29" i="15"/>
  <c r="D27" i="15"/>
  <c r="D23" i="15"/>
  <c r="D21" i="15"/>
  <c r="D19" i="15"/>
  <c r="D15" i="15"/>
  <c r="D13" i="15"/>
  <c r="D11" i="15"/>
  <c r="D34" i="15"/>
  <c r="D32" i="15"/>
  <c r="D30" i="15"/>
  <c r="D28" i="15"/>
  <c r="D24" i="15"/>
  <c r="D22" i="15"/>
  <c r="D20" i="15"/>
  <c r="D18" i="15"/>
  <c r="D14" i="15"/>
  <c r="D12" i="15"/>
  <c r="D10" i="15"/>
  <c r="D6" i="15"/>
  <c r="D7" i="15"/>
  <c r="F11" i="14"/>
  <c r="F12" i="14"/>
  <c r="F23" i="14"/>
  <c r="J33" i="14"/>
  <c r="J31" i="14"/>
  <c r="J29" i="14"/>
  <c r="J27" i="14"/>
  <c r="J23" i="14"/>
  <c r="J21" i="14"/>
  <c r="J19" i="14"/>
  <c r="J15" i="14"/>
  <c r="J13" i="14"/>
  <c r="J11" i="14"/>
  <c r="J7" i="14"/>
  <c r="J34" i="14"/>
  <c r="J32" i="14"/>
  <c r="J30" i="14"/>
  <c r="J28" i="14"/>
  <c r="J24" i="14"/>
  <c r="J22" i="14"/>
  <c r="J20" i="14"/>
  <c r="J18" i="14"/>
  <c r="J14" i="14"/>
  <c r="J12" i="14"/>
  <c r="J10" i="14"/>
  <c r="J6" i="14"/>
  <c r="I22" i="15"/>
  <c r="J22" i="15"/>
  <c r="J32" i="15"/>
  <c r="F32" i="15"/>
  <c r="I32" i="15"/>
  <c r="E32" i="15"/>
  <c r="J30" i="15"/>
  <c r="F30" i="15"/>
  <c r="I30" i="15"/>
  <c r="E30" i="15"/>
  <c r="J19" i="15"/>
  <c r="F19" i="15"/>
  <c r="I19" i="15"/>
  <c r="E19" i="15"/>
  <c r="J18" i="15"/>
  <c r="F18" i="15"/>
  <c r="I18" i="15"/>
  <c r="E18" i="15"/>
  <c r="J11" i="15"/>
  <c r="F11" i="15"/>
  <c r="I11" i="15"/>
  <c r="E11" i="15"/>
  <c r="J27" i="15"/>
  <c r="F27" i="15"/>
  <c r="I27" i="15"/>
  <c r="E27" i="15"/>
  <c r="J14" i="15"/>
  <c r="F14" i="15"/>
  <c r="I14" i="15"/>
  <c r="E14" i="15"/>
  <c r="J28" i="15"/>
  <c r="F28" i="15"/>
  <c r="I28" i="15"/>
  <c r="E28" i="15"/>
  <c r="J15" i="15"/>
  <c r="F15" i="15"/>
  <c r="I15" i="15"/>
  <c r="G15" i="15"/>
  <c r="E15" i="15"/>
  <c r="J34" i="15"/>
  <c r="F34" i="15"/>
  <c r="I34" i="15"/>
  <c r="E34" i="15"/>
  <c r="J7" i="15"/>
  <c r="F7" i="15"/>
  <c r="I7" i="15"/>
  <c r="E7" i="15"/>
  <c r="J20" i="15"/>
  <c r="F20" i="15"/>
  <c r="I20" i="15"/>
  <c r="E20" i="15"/>
  <c r="J6" i="15"/>
  <c r="F6" i="15"/>
  <c r="I6" i="15"/>
  <c r="E6" i="15"/>
  <c r="J29" i="15"/>
  <c r="F29" i="15"/>
  <c r="I29" i="15"/>
  <c r="E29" i="15"/>
  <c r="J33" i="15"/>
  <c r="F33" i="15"/>
  <c r="I33" i="15"/>
  <c r="E33" i="15"/>
  <c r="J23" i="15"/>
  <c r="F23" i="15"/>
  <c r="I23" i="15"/>
  <c r="E23" i="15"/>
  <c r="J12" i="15"/>
  <c r="H12" i="15"/>
  <c r="F12" i="15"/>
  <c r="I12" i="15"/>
  <c r="E12" i="15"/>
  <c r="J31" i="15"/>
  <c r="F31" i="15"/>
  <c r="I31" i="15"/>
  <c r="E31" i="15"/>
  <c r="F22" i="15"/>
  <c r="E22" i="15"/>
  <c r="J21" i="15"/>
  <c r="F21" i="15"/>
  <c r="I21" i="15"/>
  <c r="E21" i="15"/>
  <c r="J10" i="15"/>
  <c r="F10" i="15"/>
  <c r="I10" i="15"/>
  <c r="E10" i="15"/>
  <c r="J24" i="15"/>
  <c r="F24" i="15"/>
  <c r="I24" i="15"/>
  <c r="E24" i="15"/>
  <c r="J13" i="15"/>
  <c r="F13" i="15"/>
  <c r="I13" i="15"/>
  <c r="G13" i="15"/>
  <c r="E13" i="15"/>
  <c r="D32" i="13"/>
  <c r="D30" i="13"/>
  <c r="D28" i="13"/>
  <c r="D26" i="13"/>
  <c r="D22" i="13"/>
  <c r="D20" i="13"/>
  <c r="D18" i="13"/>
  <c r="D14" i="13"/>
  <c r="D12" i="13"/>
  <c r="D10" i="13"/>
  <c r="D6" i="13"/>
  <c r="D33" i="13"/>
  <c r="D31" i="13"/>
  <c r="D29" i="13"/>
  <c r="D27" i="13"/>
  <c r="D23" i="13"/>
  <c r="D21" i="13"/>
  <c r="D19" i="13"/>
  <c r="D17" i="13"/>
  <c r="D13" i="13"/>
  <c r="D11" i="13"/>
  <c r="D9" i="13"/>
  <c r="D5" i="13"/>
  <c r="D35" i="13"/>
  <c r="K35" i="13"/>
  <c r="K32" i="13"/>
  <c r="K30" i="13"/>
  <c r="K28" i="13"/>
  <c r="K26" i="13"/>
  <c r="K22" i="13"/>
  <c r="K20" i="13"/>
  <c r="K18" i="13"/>
  <c r="K14" i="13"/>
  <c r="K12" i="13"/>
  <c r="K10" i="13"/>
  <c r="K6" i="13"/>
  <c r="K33" i="13"/>
  <c r="K31" i="13"/>
  <c r="K29" i="13"/>
  <c r="K27" i="13"/>
  <c r="K23" i="13"/>
  <c r="K21" i="13"/>
  <c r="K19" i="13"/>
  <c r="K17" i="13"/>
  <c r="K13" i="13"/>
  <c r="K11" i="13"/>
  <c r="K9" i="13"/>
  <c r="H35" i="13"/>
  <c r="H32" i="13"/>
  <c r="H30" i="13"/>
  <c r="H28" i="13"/>
  <c r="H26" i="13"/>
  <c r="H22" i="13"/>
  <c r="H20" i="13"/>
  <c r="H18" i="13"/>
  <c r="H14" i="13"/>
  <c r="H12" i="13"/>
  <c r="H10" i="13"/>
  <c r="H6" i="13"/>
  <c r="H33" i="13"/>
  <c r="H31" i="13"/>
  <c r="H29" i="13"/>
  <c r="H27" i="13"/>
  <c r="H23" i="13"/>
  <c r="H21" i="13"/>
  <c r="H19" i="13"/>
  <c r="H17" i="13"/>
  <c r="H13" i="13"/>
  <c r="H11" i="13"/>
  <c r="H9" i="13"/>
  <c r="H5" i="13"/>
  <c r="K5" i="13"/>
  <c r="H32" i="7" l="1"/>
  <c r="D32" i="7"/>
  <c r="C27" i="8"/>
  <c r="B5" i="4" l="1"/>
  <c r="B6" i="4"/>
  <c r="B9" i="4"/>
  <c r="B10" i="4"/>
  <c r="B11" i="4"/>
  <c r="B12" i="4"/>
  <c r="B13" i="4"/>
  <c r="B14" i="4"/>
  <c r="B17" i="4"/>
  <c r="B18" i="4"/>
  <c r="B19" i="4"/>
  <c r="B20" i="4"/>
  <c r="B21" i="4"/>
  <c r="B22" i="4"/>
  <c r="B23" i="4"/>
  <c r="B26" i="4"/>
  <c r="B27" i="4"/>
  <c r="B28" i="4"/>
  <c r="B29" i="4"/>
  <c r="B30" i="4"/>
  <c r="B31" i="4"/>
  <c r="B32" i="4"/>
  <c r="B33" i="4"/>
  <c r="F32" i="7" l="1"/>
  <c r="J32" i="7"/>
  <c r="E35" i="9"/>
  <c r="G5" i="9"/>
  <c r="G31" i="9"/>
  <c r="G29" i="9"/>
  <c r="G27" i="9"/>
  <c r="G23" i="9"/>
  <c r="G19" i="9"/>
  <c r="G32" i="9"/>
  <c r="G22" i="9"/>
  <c r="G20" i="9"/>
  <c r="G18" i="9"/>
  <c r="G14" i="9"/>
  <c r="G12" i="9"/>
  <c r="I35" i="5" l="1"/>
  <c r="G35" i="5"/>
  <c r="E35" i="5"/>
  <c r="C34" i="15" l="1"/>
  <c r="C33" i="15"/>
  <c r="C31" i="15"/>
  <c r="C30" i="15"/>
  <c r="C28" i="15"/>
  <c r="C24" i="15"/>
  <c r="C23" i="15"/>
  <c r="C19" i="15"/>
  <c r="C18" i="15"/>
  <c r="C12" i="15"/>
  <c r="B12" i="15"/>
  <c r="M12" i="15"/>
  <c r="B13" i="15"/>
  <c r="C13" i="15"/>
  <c r="M13" i="15"/>
  <c r="B14" i="15"/>
  <c r="C14" i="15"/>
  <c r="B15" i="15"/>
  <c r="C15" i="15"/>
  <c r="M15" i="15"/>
  <c r="M11" i="15"/>
  <c r="C32" i="15"/>
  <c r="C22" i="15"/>
  <c r="C20" i="15"/>
  <c r="C29" i="15"/>
  <c r="C27" i="15"/>
  <c r="C21" i="15"/>
  <c r="C11" i="15"/>
  <c r="C10" i="15"/>
  <c r="C7" i="15"/>
  <c r="C6" i="15"/>
  <c r="M34" i="15"/>
  <c r="M33" i="15"/>
  <c r="M32" i="15"/>
  <c r="M31" i="15"/>
  <c r="M30" i="15"/>
  <c r="M29" i="15"/>
  <c r="M28" i="15"/>
  <c r="M27" i="15"/>
  <c r="M24" i="15"/>
  <c r="M23" i="15"/>
  <c r="M22" i="15"/>
  <c r="M21" i="15"/>
  <c r="M20" i="15"/>
  <c r="M19" i="15"/>
  <c r="M18" i="15"/>
  <c r="M10" i="15"/>
  <c r="M7" i="15"/>
  <c r="M6" i="15"/>
  <c r="M35" i="2" l="1"/>
  <c r="N35" i="2"/>
  <c r="B29" i="15" l="1"/>
  <c r="B28" i="15"/>
  <c r="B29" i="14"/>
  <c r="B28" i="14"/>
  <c r="B28" i="13"/>
  <c r="B27" i="13"/>
  <c r="B28" i="12"/>
  <c r="B27" i="12"/>
  <c r="B28" i="11"/>
  <c r="B27" i="11"/>
  <c r="B28" i="10"/>
  <c r="B27" i="10"/>
  <c r="B28" i="9"/>
  <c r="B27" i="9"/>
  <c r="B29" i="8"/>
  <c r="B28" i="8"/>
  <c r="B28" i="7"/>
  <c r="B27" i="7"/>
  <c r="B28" i="5"/>
  <c r="B27" i="5"/>
  <c r="B28" i="6"/>
  <c r="B27" i="6"/>
  <c r="D27" i="2"/>
  <c r="E27" i="2" s="1"/>
  <c r="F6" i="4" l="1"/>
  <c r="F5" i="4"/>
  <c r="F33" i="4"/>
  <c r="F32" i="4"/>
  <c r="F31" i="4"/>
  <c r="F30" i="4"/>
  <c r="F29" i="4"/>
  <c r="F28" i="4"/>
  <c r="F27" i="4"/>
  <c r="F23" i="4"/>
  <c r="F22" i="4"/>
  <c r="F20" i="4"/>
  <c r="F21" i="4"/>
  <c r="B7" i="15"/>
  <c r="B10" i="15"/>
  <c r="B11" i="15"/>
  <c r="B18" i="15"/>
  <c r="B19" i="15"/>
  <c r="B20" i="15"/>
  <c r="B21" i="15"/>
  <c r="B22" i="15"/>
  <c r="B23" i="15"/>
  <c r="B24" i="15"/>
  <c r="B27" i="15"/>
  <c r="B30" i="15"/>
  <c r="B31" i="15"/>
  <c r="B32" i="15"/>
  <c r="B33" i="15"/>
  <c r="B34" i="15"/>
  <c r="B6" i="15"/>
  <c r="B7" i="14"/>
  <c r="B10" i="14"/>
  <c r="B11" i="14"/>
  <c r="B12" i="14"/>
  <c r="B13" i="14"/>
  <c r="B14" i="14"/>
  <c r="B15" i="14"/>
  <c r="B18" i="14"/>
  <c r="B19" i="14"/>
  <c r="B20" i="14"/>
  <c r="B21" i="14"/>
  <c r="B22" i="14"/>
  <c r="B23" i="14"/>
  <c r="B24" i="14"/>
  <c r="B27" i="14"/>
  <c r="B30" i="14"/>
  <c r="B31" i="14"/>
  <c r="B32" i="14"/>
  <c r="B33" i="14"/>
  <c r="B34" i="14"/>
  <c r="B6" i="14"/>
  <c r="B6" i="13"/>
  <c r="B9" i="13"/>
  <c r="B10" i="13"/>
  <c r="B11" i="13"/>
  <c r="B12" i="13"/>
  <c r="B13" i="13"/>
  <c r="B14" i="13"/>
  <c r="B17" i="13"/>
  <c r="B18" i="13"/>
  <c r="B19" i="13"/>
  <c r="B20" i="13"/>
  <c r="B21" i="13"/>
  <c r="B22" i="13"/>
  <c r="B23" i="13"/>
  <c r="B26" i="13"/>
  <c r="B29" i="13"/>
  <c r="B30" i="13"/>
  <c r="B31" i="13"/>
  <c r="B32" i="13"/>
  <c r="B33" i="13"/>
  <c r="B5" i="13"/>
  <c r="B6" i="12"/>
  <c r="B9" i="12"/>
  <c r="B10" i="12"/>
  <c r="B11" i="12"/>
  <c r="B12" i="12"/>
  <c r="B13" i="12"/>
  <c r="B14" i="12"/>
  <c r="B17" i="12"/>
  <c r="B18" i="12"/>
  <c r="B19" i="12"/>
  <c r="B20" i="12"/>
  <c r="B21" i="12"/>
  <c r="B22" i="12"/>
  <c r="B23" i="12"/>
  <c r="B26" i="12"/>
  <c r="B29" i="12"/>
  <c r="B30" i="12"/>
  <c r="B31" i="12"/>
  <c r="B32" i="12"/>
  <c r="B33" i="12"/>
  <c r="B5" i="12"/>
  <c r="B6" i="11"/>
  <c r="B9" i="11"/>
  <c r="B10" i="11"/>
  <c r="B11" i="11"/>
  <c r="B12" i="11"/>
  <c r="B13" i="11"/>
  <c r="B14" i="11"/>
  <c r="B17" i="11"/>
  <c r="B18" i="11"/>
  <c r="B19" i="11"/>
  <c r="B20" i="11"/>
  <c r="B21" i="11"/>
  <c r="B22" i="11"/>
  <c r="B23" i="11"/>
  <c r="B26" i="11"/>
  <c r="B29" i="11"/>
  <c r="B30" i="11"/>
  <c r="B31" i="11"/>
  <c r="B32" i="11"/>
  <c r="B33" i="11"/>
  <c r="B5" i="11"/>
  <c r="B6" i="10"/>
  <c r="B9" i="10"/>
  <c r="B10" i="10"/>
  <c r="B11" i="10"/>
  <c r="B12" i="10"/>
  <c r="B13" i="10"/>
  <c r="B14" i="10"/>
  <c r="B17" i="10"/>
  <c r="B18" i="10"/>
  <c r="B19" i="10"/>
  <c r="B20" i="10"/>
  <c r="B21" i="10"/>
  <c r="B22" i="10"/>
  <c r="B23" i="10"/>
  <c r="B26" i="10"/>
  <c r="B29" i="10"/>
  <c r="B30" i="10"/>
  <c r="B31" i="10"/>
  <c r="B32" i="10"/>
  <c r="B33" i="10"/>
  <c r="B5" i="10"/>
  <c r="B6" i="9"/>
  <c r="B9" i="9"/>
  <c r="B10" i="9"/>
  <c r="B11" i="9"/>
  <c r="B12" i="9"/>
  <c r="B13" i="9"/>
  <c r="B14" i="9"/>
  <c r="B17" i="9"/>
  <c r="B18" i="9"/>
  <c r="B19" i="9"/>
  <c r="B20" i="9"/>
  <c r="B21" i="9"/>
  <c r="B22" i="9"/>
  <c r="B23" i="9"/>
  <c r="B26" i="9"/>
  <c r="B29" i="9"/>
  <c r="B30" i="9"/>
  <c r="B31" i="9"/>
  <c r="B32" i="9"/>
  <c r="B33" i="9"/>
  <c r="B5" i="9"/>
  <c r="B7" i="8"/>
  <c r="B10" i="8"/>
  <c r="B11" i="8"/>
  <c r="B12" i="8"/>
  <c r="B13" i="8"/>
  <c r="B14" i="8"/>
  <c r="B15" i="8"/>
  <c r="B18" i="8"/>
  <c r="B19" i="8"/>
  <c r="B20" i="8"/>
  <c r="B21" i="8"/>
  <c r="B22" i="8"/>
  <c r="B23" i="8"/>
  <c r="B24" i="8"/>
  <c r="B27" i="8"/>
  <c r="B30" i="8"/>
  <c r="B31" i="8"/>
  <c r="B32" i="8"/>
  <c r="B33" i="8"/>
  <c r="B34" i="8"/>
  <c r="B6" i="8"/>
  <c r="B6" i="7"/>
  <c r="B9" i="7"/>
  <c r="B10" i="7"/>
  <c r="B11" i="7"/>
  <c r="B12" i="7"/>
  <c r="B13" i="7"/>
  <c r="B14" i="7"/>
  <c r="B17" i="7"/>
  <c r="B18" i="7"/>
  <c r="B19" i="7"/>
  <c r="B20" i="7"/>
  <c r="B21" i="7"/>
  <c r="B22" i="7"/>
  <c r="B23" i="7"/>
  <c r="B26" i="7"/>
  <c r="B29" i="7"/>
  <c r="B30" i="7"/>
  <c r="B31" i="7"/>
  <c r="B32" i="7"/>
  <c r="B33" i="7"/>
  <c r="B5" i="7"/>
  <c r="B6" i="6"/>
  <c r="B9" i="6"/>
  <c r="B10" i="6"/>
  <c r="B11" i="6"/>
  <c r="B12" i="6"/>
  <c r="B13" i="6"/>
  <c r="B14" i="6"/>
  <c r="B17" i="6"/>
  <c r="B18" i="6"/>
  <c r="B19" i="6"/>
  <c r="B20" i="6"/>
  <c r="B21" i="6"/>
  <c r="B22" i="6"/>
  <c r="B23" i="6"/>
  <c r="B26" i="6"/>
  <c r="B29" i="6"/>
  <c r="B30" i="6"/>
  <c r="B31" i="6"/>
  <c r="B32" i="6"/>
  <c r="B33" i="6"/>
  <c r="B5" i="6"/>
  <c r="B6" i="5"/>
  <c r="B9" i="5"/>
  <c r="B10" i="5"/>
  <c r="B11" i="5"/>
  <c r="B12" i="5"/>
  <c r="B13" i="5"/>
  <c r="B14" i="5"/>
  <c r="B17" i="5"/>
  <c r="B18" i="5"/>
  <c r="B19" i="5"/>
  <c r="B20" i="5"/>
  <c r="B21" i="5"/>
  <c r="B22" i="5"/>
  <c r="B23" i="5"/>
  <c r="B26" i="5"/>
  <c r="B29" i="5"/>
  <c r="B30" i="5"/>
  <c r="B31" i="5"/>
  <c r="B32" i="5"/>
  <c r="B33" i="5"/>
  <c r="B5" i="5"/>
  <c r="F18" i="14" l="1"/>
  <c r="G21" i="10"/>
  <c r="C35" i="2" l="1"/>
  <c r="F3" i="17" s="1"/>
  <c r="B36" i="15" l="1"/>
  <c r="B36" i="14"/>
  <c r="B35" i="13"/>
  <c r="B35" i="12"/>
  <c r="B35" i="11"/>
  <c r="B35" i="10"/>
  <c r="B35" i="9"/>
  <c r="B36" i="8"/>
  <c r="B35" i="7"/>
  <c r="B35" i="6"/>
  <c r="B35" i="5"/>
  <c r="B35" i="4"/>
  <c r="F15" i="14"/>
  <c r="I35" i="11" l="1"/>
  <c r="G17" i="9"/>
  <c r="G9" i="9"/>
  <c r="J11" i="7"/>
  <c r="F17" i="4" l="1"/>
  <c r="F18" i="4"/>
  <c r="F14" i="13" l="1"/>
  <c r="G26" i="9"/>
  <c r="G13" i="9"/>
  <c r="D17" i="7"/>
  <c r="F11" i="7"/>
  <c r="E5" i="6"/>
  <c r="E6" i="6"/>
  <c r="E9" i="6"/>
  <c r="E10" i="6"/>
  <c r="E11" i="6"/>
  <c r="E12" i="6"/>
  <c r="F12" i="6" s="1"/>
  <c r="E13" i="6"/>
  <c r="E14" i="6"/>
  <c r="E17" i="6"/>
  <c r="E18" i="6"/>
  <c r="E19" i="6"/>
  <c r="E20" i="6"/>
  <c r="E21" i="6"/>
  <c r="E22" i="6"/>
  <c r="E23" i="6"/>
  <c r="E26" i="6"/>
  <c r="E27" i="6"/>
  <c r="E28" i="6"/>
  <c r="E29" i="6"/>
  <c r="E30" i="6"/>
  <c r="E31" i="6"/>
  <c r="E32" i="6"/>
  <c r="E33" i="6"/>
  <c r="F14" i="5"/>
  <c r="J31" i="7" l="1"/>
  <c r="J33" i="7"/>
  <c r="H30" i="7"/>
  <c r="H31" i="7"/>
  <c r="H33" i="7"/>
  <c r="F30" i="7"/>
  <c r="F31" i="7"/>
  <c r="F33" i="7"/>
  <c r="D11" i="7"/>
  <c r="F28" i="5"/>
  <c r="F29" i="5"/>
  <c r="F30" i="5"/>
  <c r="F31" i="5"/>
  <c r="F32" i="5"/>
  <c r="F33" i="5"/>
  <c r="H28" i="5"/>
  <c r="H29" i="5"/>
  <c r="H30" i="5"/>
  <c r="H31" i="5"/>
  <c r="H32" i="5"/>
  <c r="H33" i="5"/>
  <c r="J28" i="5"/>
  <c r="J29" i="5"/>
  <c r="J30" i="5"/>
  <c r="J31" i="5"/>
  <c r="J32" i="5"/>
  <c r="J33" i="5"/>
  <c r="J27" i="5"/>
  <c r="J17" i="5" l="1"/>
  <c r="H27" i="5"/>
  <c r="F27" i="5"/>
  <c r="J26" i="5"/>
  <c r="H26" i="5"/>
  <c r="F26" i="5"/>
  <c r="J19" i="5"/>
  <c r="J20" i="5"/>
  <c r="J21" i="5"/>
  <c r="J22" i="5"/>
  <c r="J23" i="5"/>
  <c r="H19" i="5"/>
  <c r="H20" i="5"/>
  <c r="H21" i="5"/>
  <c r="H22" i="5"/>
  <c r="H23" i="5"/>
  <c r="F19" i="5"/>
  <c r="J18" i="5"/>
  <c r="H18" i="5"/>
  <c r="H17" i="5"/>
  <c r="F20" i="5"/>
  <c r="F21" i="5"/>
  <c r="F22" i="5"/>
  <c r="F23" i="5"/>
  <c r="F18" i="5"/>
  <c r="F17" i="5"/>
  <c r="J11" i="5"/>
  <c r="J12" i="5"/>
  <c r="J13" i="5"/>
  <c r="J14" i="5"/>
  <c r="H11" i="5"/>
  <c r="H12" i="5"/>
  <c r="H13" i="5"/>
  <c r="H14" i="5"/>
  <c r="H10" i="5"/>
  <c r="F11" i="5"/>
  <c r="F12" i="5"/>
  <c r="F13" i="5"/>
  <c r="D11" i="5"/>
  <c r="D12" i="5"/>
  <c r="D13" i="5"/>
  <c r="D14" i="5"/>
  <c r="J10" i="5"/>
  <c r="F10" i="5"/>
  <c r="J9" i="5"/>
  <c r="H9" i="5"/>
  <c r="F9" i="5"/>
  <c r="D9" i="5"/>
  <c r="J6" i="5"/>
  <c r="J5" i="5"/>
  <c r="H6" i="5"/>
  <c r="H5" i="5"/>
  <c r="F6" i="5"/>
  <c r="F5" i="5"/>
  <c r="B35" i="2"/>
  <c r="H35" i="5" l="1"/>
  <c r="J35" i="5"/>
  <c r="F35" i="5"/>
  <c r="F28" i="13"/>
  <c r="F27" i="13"/>
  <c r="F26" i="13"/>
  <c r="F28" i="11"/>
  <c r="H20" i="11"/>
  <c r="D10" i="11"/>
  <c r="D18" i="10"/>
  <c r="D19" i="10"/>
  <c r="D20" i="10"/>
  <c r="D21" i="10"/>
  <c r="D22" i="10"/>
  <c r="D23" i="10"/>
  <c r="D17" i="10"/>
  <c r="G28" i="9"/>
  <c r="K36" i="8"/>
  <c r="J36" i="8"/>
  <c r="I36" i="8"/>
  <c r="F36" i="8"/>
  <c r="E36" i="8"/>
  <c r="G11" i="8"/>
  <c r="G12" i="8"/>
  <c r="C13" i="8"/>
  <c r="G14" i="8"/>
  <c r="G15" i="8"/>
  <c r="C15" i="8" s="1"/>
  <c r="G7" i="8"/>
  <c r="I35" i="7"/>
  <c r="E35" i="7"/>
  <c r="C35" i="7"/>
  <c r="J27" i="7"/>
  <c r="J28" i="7"/>
  <c r="J29" i="7"/>
  <c r="J30" i="7"/>
  <c r="H27" i="7"/>
  <c r="H28" i="7"/>
  <c r="H29" i="7"/>
  <c r="F27" i="7"/>
  <c r="F28" i="7"/>
  <c r="F29" i="7"/>
  <c r="J26" i="7"/>
  <c r="H26" i="7"/>
  <c r="F26" i="7"/>
  <c r="J19" i="7"/>
  <c r="J20" i="7"/>
  <c r="J21" i="7"/>
  <c r="J22" i="7"/>
  <c r="J23" i="7"/>
  <c r="H19" i="7"/>
  <c r="H20" i="7"/>
  <c r="H21" i="7"/>
  <c r="H22" i="7"/>
  <c r="H23" i="7"/>
  <c r="F19" i="7"/>
  <c r="F20" i="7"/>
  <c r="F21" i="7"/>
  <c r="F22" i="7"/>
  <c r="F23" i="7"/>
  <c r="D18" i="7"/>
  <c r="D19" i="7"/>
  <c r="D20" i="7"/>
  <c r="D21" i="7"/>
  <c r="D22" i="7"/>
  <c r="D23" i="7"/>
  <c r="J17" i="7"/>
  <c r="H17" i="7"/>
  <c r="F17" i="7"/>
  <c r="J10" i="7"/>
  <c r="J13" i="7"/>
  <c r="J14" i="7"/>
  <c r="H10" i="7"/>
  <c r="H13" i="7"/>
  <c r="H14" i="7"/>
  <c r="F10" i="7"/>
  <c r="F13" i="7"/>
  <c r="F14" i="7"/>
  <c r="D10" i="7"/>
  <c r="D12" i="7"/>
  <c r="D13" i="7"/>
  <c r="D14" i="7"/>
  <c r="J9" i="7"/>
  <c r="H9" i="7"/>
  <c r="F9" i="7"/>
  <c r="D9" i="7"/>
  <c r="J6" i="7"/>
  <c r="H6" i="7"/>
  <c r="F6" i="7"/>
  <c r="D6" i="7"/>
  <c r="J5" i="7"/>
  <c r="H5" i="7"/>
  <c r="F5" i="7"/>
  <c r="D5" i="7"/>
  <c r="D35" i="6"/>
  <c r="C35" i="6"/>
  <c r="C35" i="5"/>
  <c r="F5" i="17" s="1"/>
  <c r="L35" i="2"/>
  <c r="G27" i="6"/>
  <c r="G28" i="6"/>
  <c r="F29" i="6"/>
  <c r="G30" i="6"/>
  <c r="F31" i="6"/>
  <c r="G32" i="6"/>
  <c r="G33" i="6"/>
  <c r="G26" i="6"/>
  <c r="G18" i="6"/>
  <c r="G19" i="6"/>
  <c r="G20" i="6"/>
  <c r="G21" i="6"/>
  <c r="F22" i="6"/>
  <c r="G23" i="6"/>
  <c r="G17" i="6"/>
  <c r="G10" i="6"/>
  <c r="F11" i="6"/>
  <c r="G12" i="6"/>
  <c r="G13" i="6"/>
  <c r="F14" i="6"/>
  <c r="F5" i="6"/>
  <c r="F9" i="6"/>
  <c r="F6" i="6"/>
  <c r="G6" i="6"/>
  <c r="D33" i="5"/>
  <c r="D32" i="5"/>
  <c r="D31" i="5"/>
  <c r="D30" i="5"/>
  <c r="D29" i="5"/>
  <c r="D28" i="5"/>
  <c r="D27" i="5"/>
  <c r="D26" i="5"/>
  <c r="D23" i="5"/>
  <c r="D22" i="5"/>
  <c r="D21" i="5"/>
  <c r="D20" i="5"/>
  <c r="D19" i="5"/>
  <c r="D18" i="5"/>
  <c r="D17" i="5"/>
  <c r="D10" i="5"/>
  <c r="D6" i="5"/>
  <c r="D5" i="5"/>
  <c r="I33" i="4"/>
  <c r="I32" i="4"/>
  <c r="I31" i="4"/>
  <c r="I30" i="4"/>
  <c r="I29" i="4"/>
  <c r="I28" i="4"/>
  <c r="I27" i="4"/>
  <c r="I26" i="4"/>
  <c r="I23" i="4"/>
  <c r="I22" i="4"/>
  <c r="I21" i="4"/>
  <c r="I20" i="4"/>
  <c r="I19" i="4"/>
  <c r="F19" i="4"/>
  <c r="I18" i="4"/>
  <c r="I17" i="4"/>
  <c r="I14" i="4"/>
  <c r="F14" i="4"/>
  <c r="I13" i="4"/>
  <c r="F13" i="4"/>
  <c r="I12" i="4"/>
  <c r="F12" i="4"/>
  <c r="I11" i="4"/>
  <c r="F11" i="4"/>
  <c r="I10" i="4"/>
  <c r="F10" i="4"/>
  <c r="I9" i="4"/>
  <c r="F9" i="4"/>
  <c r="I6" i="4"/>
  <c r="I5" i="4"/>
  <c r="H35" i="4"/>
  <c r="F4" i="17" s="1"/>
  <c r="C11" i="8" l="1"/>
  <c r="H11" i="8" s="1"/>
  <c r="C7" i="8"/>
  <c r="C12" i="8"/>
  <c r="H12" i="8" s="1"/>
  <c r="C14" i="8"/>
  <c r="F35" i="4"/>
  <c r="I35" i="4"/>
  <c r="J35" i="7"/>
  <c r="F32" i="6"/>
  <c r="F28" i="6"/>
  <c r="F27" i="6"/>
  <c r="F10" i="6"/>
  <c r="G9" i="6"/>
  <c r="E35" i="6"/>
  <c r="F35" i="6" s="1"/>
  <c r="G5" i="6"/>
  <c r="D35" i="7"/>
  <c r="D35" i="5"/>
  <c r="F6" i="17" s="1"/>
  <c r="F33" i="6"/>
  <c r="G31" i="6"/>
  <c r="F30" i="6"/>
  <c r="G29" i="6"/>
  <c r="F26" i="6"/>
  <c r="F23" i="6"/>
  <c r="G22" i="6"/>
  <c r="F21" i="6"/>
  <c r="F20" i="6"/>
  <c r="F19" i="6"/>
  <c r="F18" i="6"/>
  <c r="F17" i="6"/>
  <c r="G14" i="6"/>
  <c r="F13" i="6"/>
  <c r="G11" i="6"/>
  <c r="M36" i="15"/>
  <c r="L36" i="15"/>
  <c r="K36" i="15"/>
  <c r="J36" i="15"/>
  <c r="I36" i="15"/>
  <c r="H36" i="15"/>
  <c r="G36" i="15"/>
  <c r="F36" i="15"/>
  <c r="E36" i="15"/>
  <c r="D36" i="15"/>
  <c r="C36" i="15"/>
  <c r="F34" i="14"/>
  <c r="F33" i="14"/>
  <c r="F32" i="14"/>
  <c r="F31" i="14"/>
  <c r="F30" i="14"/>
  <c r="F29" i="14"/>
  <c r="F28" i="14"/>
  <c r="F27" i="14"/>
  <c r="F24" i="14"/>
  <c r="F21" i="14"/>
  <c r="F20" i="14"/>
  <c r="F19" i="14"/>
  <c r="F14" i="14"/>
  <c r="F13" i="14"/>
  <c r="F10" i="14"/>
  <c r="D34" i="14"/>
  <c r="D33" i="14"/>
  <c r="D32" i="14"/>
  <c r="D31" i="14"/>
  <c r="D30" i="14"/>
  <c r="D29" i="14"/>
  <c r="D28" i="14"/>
  <c r="D27" i="14"/>
  <c r="D24" i="14"/>
  <c r="D23" i="14"/>
  <c r="D22" i="14"/>
  <c r="D21" i="14"/>
  <c r="D20" i="14"/>
  <c r="D19" i="14"/>
  <c r="D18" i="14"/>
  <c r="D15" i="14"/>
  <c r="D14" i="14"/>
  <c r="D13" i="14"/>
  <c r="D12" i="14"/>
  <c r="D11" i="14"/>
  <c r="D10" i="14"/>
  <c r="F33" i="13"/>
  <c r="F32" i="13"/>
  <c r="F31" i="13"/>
  <c r="F30" i="13"/>
  <c r="F29" i="13"/>
  <c r="F23" i="13"/>
  <c r="F22" i="13"/>
  <c r="F21" i="13"/>
  <c r="F20" i="13"/>
  <c r="F19" i="13"/>
  <c r="F18" i="13"/>
  <c r="F17" i="13"/>
  <c r="F13" i="13"/>
  <c r="F12" i="13"/>
  <c r="F11" i="13"/>
  <c r="F10" i="13"/>
  <c r="F9" i="13"/>
  <c r="K33" i="11"/>
  <c r="K32" i="11"/>
  <c r="K31" i="11"/>
  <c r="K30" i="11"/>
  <c r="K29" i="11"/>
  <c r="K28" i="11"/>
  <c r="K27" i="11"/>
  <c r="K26" i="11"/>
  <c r="K23" i="11"/>
  <c r="K22" i="11"/>
  <c r="K21" i="11"/>
  <c r="K20" i="11"/>
  <c r="K19" i="11"/>
  <c r="K18" i="11"/>
  <c r="K14" i="11"/>
  <c r="K13" i="11"/>
  <c r="K12" i="11"/>
  <c r="K11" i="11"/>
  <c r="K10" i="11"/>
  <c r="K9" i="11"/>
  <c r="H33" i="11"/>
  <c r="H32" i="11"/>
  <c r="H31" i="11"/>
  <c r="H30" i="11"/>
  <c r="H29" i="11"/>
  <c r="H28" i="11"/>
  <c r="H27" i="11"/>
  <c r="H26" i="11"/>
  <c r="H23" i="11"/>
  <c r="H22" i="11"/>
  <c r="H21" i="11"/>
  <c r="H19" i="11"/>
  <c r="H18" i="11"/>
  <c r="H17" i="11"/>
  <c r="H14" i="11"/>
  <c r="H13" i="11"/>
  <c r="H12" i="11"/>
  <c r="H11" i="11"/>
  <c r="H10" i="11"/>
  <c r="H9" i="11"/>
  <c r="F33" i="11"/>
  <c r="F32" i="11"/>
  <c r="F31" i="11"/>
  <c r="F30" i="11"/>
  <c r="F29" i="11"/>
  <c r="F27" i="11"/>
  <c r="F26" i="11"/>
  <c r="F23" i="11"/>
  <c r="F22" i="11"/>
  <c r="F21" i="11"/>
  <c r="F20" i="11"/>
  <c r="F19" i="11"/>
  <c r="F18" i="11"/>
  <c r="F17" i="11"/>
  <c r="F14" i="11"/>
  <c r="F13" i="11"/>
  <c r="F12" i="11"/>
  <c r="F11" i="11"/>
  <c r="F10" i="11"/>
  <c r="F9" i="11"/>
  <c r="D33" i="11"/>
  <c r="D32" i="11"/>
  <c r="D31" i="11"/>
  <c r="D30" i="11"/>
  <c r="D29" i="11"/>
  <c r="D28" i="11"/>
  <c r="D27" i="11"/>
  <c r="D26" i="11"/>
  <c r="D23" i="11"/>
  <c r="D22" i="11"/>
  <c r="D21" i="11"/>
  <c r="D20" i="11"/>
  <c r="D19" i="11"/>
  <c r="D18" i="11"/>
  <c r="D17" i="11"/>
  <c r="I33" i="10"/>
  <c r="I32" i="10"/>
  <c r="I31" i="10"/>
  <c r="I30" i="10"/>
  <c r="I29" i="10"/>
  <c r="I28" i="10"/>
  <c r="I27" i="10"/>
  <c r="I26" i="10"/>
  <c r="I23" i="10"/>
  <c r="I22" i="10"/>
  <c r="I20" i="10"/>
  <c r="I19" i="10"/>
  <c r="I18" i="10"/>
  <c r="I17" i="10"/>
  <c r="I14" i="10"/>
  <c r="I13" i="10"/>
  <c r="I12" i="10"/>
  <c r="I11" i="10"/>
  <c r="I9" i="10"/>
  <c r="G33" i="10"/>
  <c r="G32" i="10"/>
  <c r="G31" i="10"/>
  <c r="G30" i="10"/>
  <c r="G29" i="10"/>
  <c r="G28" i="10"/>
  <c r="G27" i="10"/>
  <c r="G26" i="10"/>
  <c r="G23" i="10"/>
  <c r="G22" i="10"/>
  <c r="G20" i="10"/>
  <c r="G19" i="10"/>
  <c r="G18" i="10"/>
  <c r="G17" i="10"/>
  <c r="G14" i="10"/>
  <c r="G13" i="10"/>
  <c r="G12" i="10"/>
  <c r="G11" i="10"/>
  <c r="G9" i="10"/>
  <c r="D33" i="10"/>
  <c r="D32" i="10"/>
  <c r="D31" i="10"/>
  <c r="D30" i="10"/>
  <c r="D29" i="10"/>
  <c r="D28" i="10"/>
  <c r="D27" i="10"/>
  <c r="D11" i="10"/>
  <c r="G30" i="9"/>
  <c r="G21" i="9"/>
  <c r="G11" i="9"/>
  <c r="D35" i="9"/>
  <c r="L27" i="8"/>
  <c r="G34" i="8"/>
  <c r="G33" i="8"/>
  <c r="G32" i="8"/>
  <c r="G31" i="8"/>
  <c r="G30" i="8"/>
  <c r="G29" i="8"/>
  <c r="G28" i="8"/>
  <c r="G27" i="8"/>
  <c r="H27" i="8" s="1"/>
  <c r="G24" i="8"/>
  <c r="G23" i="8"/>
  <c r="G22" i="8"/>
  <c r="G21" i="8"/>
  <c r="C21" i="8" s="1"/>
  <c r="G20" i="8"/>
  <c r="G19" i="8"/>
  <c r="C19" i="8" s="1"/>
  <c r="G18" i="8"/>
  <c r="G10" i="8"/>
  <c r="G6" i="8"/>
  <c r="C6" i="8" s="1"/>
  <c r="G35" i="7"/>
  <c r="H35" i="7" s="1"/>
  <c r="F35" i="7"/>
  <c r="J35" i="4"/>
  <c r="G35" i="4"/>
  <c r="E35" i="4"/>
  <c r="D35" i="4"/>
  <c r="F35" i="10"/>
  <c r="D6" i="14"/>
  <c r="F6" i="14"/>
  <c r="D7" i="14"/>
  <c r="F7" i="14"/>
  <c r="C36" i="14"/>
  <c r="E36" i="14"/>
  <c r="G36" i="14"/>
  <c r="I36" i="14"/>
  <c r="F5" i="13"/>
  <c r="F6" i="13"/>
  <c r="C35" i="13"/>
  <c r="E35" i="13"/>
  <c r="G35" i="13"/>
  <c r="I35" i="13"/>
  <c r="J35" i="13"/>
  <c r="D35" i="12"/>
  <c r="F35" i="12"/>
  <c r="G35" i="12"/>
  <c r="D5" i="11"/>
  <c r="F5" i="11"/>
  <c r="H5" i="11"/>
  <c r="K5" i="11"/>
  <c r="D6" i="11"/>
  <c r="F6" i="11"/>
  <c r="H6" i="11"/>
  <c r="K6" i="11"/>
  <c r="D9" i="11"/>
  <c r="D11" i="11"/>
  <c r="D12" i="11"/>
  <c r="D13" i="11"/>
  <c r="D14" i="11"/>
  <c r="K17" i="11"/>
  <c r="C35" i="11"/>
  <c r="E35" i="11"/>
  <c r="G35" i="11"/>
  <c r="J35" i="11"/>
  <c r="K35" i="11" s="1"/>
  <c r="D5" i="10"/>
  <c r="G5" i="10"/>
  <c r="I5" i="10"/>
  <c r="D6" i="10"/>
  <c r="G6" i="10"/>
  <c r="I6" i="10"/>
  <c r="D9" i="10"/>
  <c r="D10" i="10"/>
  <c r="D12" i="10"/>
  <c r="D13" i="10"/>
  <c r="D14" i="10"/>
  <c r="D26" i="10"/>
  <c r="C35" i="10"/>
  <c r="D35" i="10" s="1"/>
  <c r="E35" i="10"/>
  <c r="H35" i="10"/>
  <c r="I35" i="10" s="1"/>
  <c r="J35" i="10"/>
  <c r="C35" i="9"/>
  <c r="F35" i="9"/>
  <c r="H35" i="9"/>
  <c r="D27" i="8"/>
  <c r="D5" i="2"/>
  <c r="E5" i="2" s="1"/>
  <c r="D6" i="2"/>
  <c r="E6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6" i="2"/>
  <c r="E26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5" i="11" l="1"/>
  <c r="F7" i="17"/>
  <c r="H35" i="11"/>
  <c r="F9" i="17"/>
  <c r="F35" i="11"/>
  <c r="F8" i="17"/>
  <c r="F36" i="14"/>
  <c r="F13" i="17"/>
  <c r="D36" i="14"/>
  <c r="F12" i="17"/>
  <c r="F11" i="17"/>
  <c r="D11" i="8"/>
  <c r="L11" i="8"/>
  <c r="L7" i="8"/>
  <c r="D7" i="8"/>
  <c r="H7" i="8"/>
  <c r="D12" i="8"/>
  <c r="L12" i="8"/>
  <c r="C10" i="8"/>
  <c r="H10" i="8" s="1"/>
  <c r="L6" i="8"/>
  <c r="D6" i="8"/>
  <c r="G35" i="10"/>
  <c r="F10" i="17"/>
  <c r="C34" i="8"/>
  <c r="C33" i="8"/>
  <c r="C32" i="8"/>
  <c r="H32" i="8" s="1"/>
  <c r="C31" i="8"/>
  <c r="C30" i="8"/>
  <c r="H30" i="8" s="1"/>
  <c r="C29" i="8"/>
  <c r="C28" i="8"/>
  <c r="C24" i="8"/>
  <c r="H24" i="8" s="1"/>
  <c r="C23" i="8"/>
  <c r="C22" i="8"/>
  <c r="C20" i="8"/>
  <c r="C18" i="8"/>
  <c r="L15" i="8"/>
  <c r="D15" i="8"/>
  <c r="H15" i="8"/>
  <c r="L14" i="8"/>
  <c r="D14" i="8"/>
  <c r="H14" i="8"/>
  <c r="L13" i="8"/>
  <c r="D13" i="8"/>
  <c r="H13" i="8"/>
  <c r="H6" i="8"/>
  <c r="G36" i="8"/>
  <c r="G35" i="6"/>
  <c r="F35" i="13"/>
  <c r="G35" i="9"/>
  <c r="D35" i="2"/>
  <c r="E35" i="2" s="1"/>
  <c r="L10" i="8" l="1"/>
  <c r="D10" i="8"/>
  <c r="D34" i="8"/>
  <c r="L34" i="8"/>
  <c r="H34" i="8"/>
  <c r="D33" i="8"/>
  <c r="L33" i="8"/>
  <c r="H33" i="8"/>
  <c r="D32" i="8"/>
  <c r="L32" i="8"/>
  <c r="D31" i="8"/>
  <c r="L31" i="8"/>
  <c r="H31" i="8"/>
  <c r="D30" i="8"/>
  <c r="L30" i="8"/>
  <c r="D29" i="8"/>
  <c r="L29" i="8"/>
  <c r="H29" i="8"/>
  <c r="D28" i="8"/>
  <c r="L28" i="8"/>
  <c r="H28" i="8"/>
  <c r="D24" i="8"/>
  <c r="L24" i="8"/>
  <c r="D23" i="8"/>
  <c r="L23" i="8"/>
  <c r="H23" i="8"/>
  <c r="D22" i="8"/>
  <c r="L22" i="8"/>
  <c r="H22" i="8"/>
  <c r="D21" i="8"/>
  <c r="L21" i="8"/>
  <c r="H21" i="8"/>
  <c r="D20" i="8"/>
  <c r="L20" i="8"/>
  <c r="H20" i="8"/>
  <c r="C36" i="8"/>
  <c r="L36" i="8" s="1"/>
  <c r="D19" i="8"/>
  <c r="L19" i="8"/>
  <c r="H19" i="8"/>
  <c r="H18" i="8"/>
  <c r="D18" i="8"/>
  <c r="L18" i="8"/>
  <c r="D36" i="8" l="1"/>
  <c r="H36" i="8"/>
</calcChain>
</file>

<file path=xl/sharedStrings.xml><?xml version="1.0" encoding="utf-8"?>
<sst xmlns="http://schemas.openxmlformats.org/spreadsheetml/2006/main" count="1115" uniqueCount="535">
  <si>
    <t>Albany County Public Library</t>
  </si>
  <si>
    <t>Big Horn County Library</t>
  </si>
  <si>
    <t>Campbell County Public Library System</t>
  </si>
  <si>
    <t>Carbon County Library System</t>
  </si>
  <si>
    <t>Converse County Library</t>
  </si>
  <si>
    <t>Crook County Public Library</t>
  </si>
  <si>
    <t>Fremont County Library System</t>
  </si>
  <si>
    <t>Goshen County Library</t>
  </si>
  <si>
    <t>Hot Springs County Library</t>
  </si>
  <si>
    <t>Johnson County Library System</t>
  </si>
  <si>
    <t>Laramie County Library System</t>
  </si>
  <si>
    <t>Lincoln County Library System</t>
  </si>
  <si>
    <t>Natrona County Public Library</t>
  </si>
  <si>
    <t>Niobrara County Library</t>
  </si>
  <si>
    <t>Park County Library System</t>
  </si>
  <si>
    <t>Platte County Public Library System</t>
  </si>
  <si>
    <t>Sheridan County Public Library System</t>
  </si>
  <si>
    <t>Sublette County Library</t>
  </si>
  <si>
    <t>Sweetwater County Library System</t>
  </si>
  <si>
    <t>Teton County Library</t>
  </si>
  <si>
    <t>Uinta County Library</t>
  </si>
  <si>
    <t>Washakie County Library</t>
  </si>
  <si>
    <t>Weston County Library System</t>
  </si>
  <si>
    <t>307-334-3490</t>
  </si>
  <si>
    <t>307-864-3104</t>
  </si>
  <si>
    <t>307-746-2206</t>
  </si>
  <si>
    <t>307-283-1006</t>
  </si>
  <si>
    <t>307-347-2231</t>
  </si>
  <si>
    <t>307-684-5546</t>
  </si>
  <si>
    <t>307-322-2689</t>
  </si>
  <si>
    <t>307-367-4114</t>
  </si>
  <si>
    <t>307-568-2388</t>
  </si>
  <si>
    <t>307-532-3411</t>
  </si>
  <si>
    <t>307-358-3644</t>
  </si>
  <si>
    <t>307-328-2618</t>
  </si>
  <si>
    <t>307-877-6961</t>
  </si>
  <si>
    <t>307-783-0480</t>
  </si>
  <si>
    <t>307-733-2164</t>
  </si>
  <si>
    <t>307-527-1880</t>
  </si>
  <si>
    <t>307-674-8585</t>
  </si>
  <si>
    <t>307-721-2580</t>
  </si>
  <si>
    <t>307-332-5194</t>
  </si>
  <si>
    <t>307-872-3200</t>
  </si>
  <si>
    <t>307-687-0009</t>
  </si>
  <si>
    <t>307-237-4935</t>
  </si>
  <si>
    <t>307-634-3561</t>
  </si>
  <si>
    <t>www.ccpls.org</t>
  </si>
  <si>
    <t>carbonlibraries.org</t>
  </si>
  <si>
    <t>fclsonline.org/</t>
  </si>
  <si>
    <t>hotspringscountylibrary.wordpress.com</t>
  </si>
  <si>
    <t>www.jclwyo.org</t>
  </si>
  <si>
    <t>www.lclsonline.org</t>
  </si>
  <si>
    <t>linclib.org/</t>
  </si>
  <si>
    <t>www.natronacountylibrary.org</t>
  </si>
  <si>
    <t>www.niobraracountylibrary.org</t>
  </si>
  <si>
    <t>parkcountylibrary.org/</t>
  </si>
  <si>
    <t>plattecountylibrary.org</t>
  </si>
  <si>
    <t>www.sheridanwyolibrary.org/</t>
  </si>
  <si>
    <t>sublettecountylibrary.org/</t>
  </si>
  <si>
    <t>www.sweetwaterlibraries.com</t>
  </si>
  <si>
    <t>tclib.org</t>
  </si>
  <si>
    <t>www.uintalibrary.org</t>
  </si>
  <si>
    <t>www.washakiecountylibrary.com</t>
  </si>
  <si>
    <t>www.westoncountylibrary.org</t>
  </si>
  <si>
    <t>Website</t>
  </si>
  <si>
    <t>Yes</t>
  </si>
  <si>
    <t>No</t>
  </si>
  <si>
    <t>Libraries serving 25,000-49,999</t>
  </si>
  <si>
    <t>Libraries serving 10,000-24,999</t>
  </si>
  <si>
    <t>Libraries serving less than 10,000</t>
  </si>
  <si>
    <t>Libraries serving 50,000+ population</t>
  </si>
  <si>
    <t>State totals</t>
  </si>
  <si>
    <t>-</t>
  </si>
  <si>
    <t>Unavailable</t>
  </si>
  <si>
    <t>+/-</t>
  </si>
  <si>
    <t>%+/-</t>
  </si>
  <si>
    <t>Address</t>
  </si>
  <si>
    <t>Mailing address</t>
  </si>
  <si>
    <t>City</t>
  </si>
  <si>
    <t>Zip</t>
  </si>
  <si>
    <t>Phone</t>
  </si>
  <si>
    <t>Branches</t>
  </si>
  <si>
    <t>Book-mobiles</t>
  </si>
  <si>
    <t>Total outlets</t>
  </si>
  <si>
    <t>2200 Pioneer Ave</t>
  </si>
  <si>
    <t>307 East 2nd</t>
  </si>
  <si>
    <t>2101 S 4-J Road</t>
  </si>
  <si>
    <t>300 N 1st East</t>
  </si>
  <si>
    <t>451 North 2nd St</t>
  </si>
  <si>
    <t>310 South 8th St</t>
  </si>
  <si>
    <t>335 West Alger St</t>
  </si>
  <si>
    <t>1500 Heart Mountain Street</t>
  </si>
  <si>
    <t>125 Virginian Lane</t>
  </si>
  <si>
    <t>701 Main St</t>
  </si>
  <si>
    <t>519 Emerald St</t>
  </si>
  <si>
    <t>215 West Buffalo</t>
  </si>
  <si>
    <t>300 Walnut</t>
  </si>
  <si>
    <t>2001 East A St</t>
  </si>
  <si>
    <t>430 West C St</t>
  </si>
  <si>
    <t>155 S Tyler St</t>
  </si>
  <si>
    <t>904 9th St</t>
  </si>
  <si>
    <t>171 North Adams</t>
  </si>
  <si>
    <t>414 Main Street</t>
  </si>
  <si>
    <t>23 West Main St</t>
  </si>
  <si>
    <t>344 Arapahoe Street</t>
  </si>
  <si>
    <t>425 S Main St</t>
  </si>
  <si>
    <t>P.O. Box 1629</t>
  </si>
  <si>
    <t>P.O. Box 231</t>
  </si>
  <si>
    <t>P.O. Box 489</t>
  </si>
  <si>
    <t>P.O. Box 910</t>
  </si>
  <si>
    <t>P.O. Box 951</t>
  </si>
  <si>
    <t>P.O. Box 510</t>
  </si>
  <si>
    <t>Cheyenne</t>
  </si>
  <si>
    <t>Casper</t>
  </si>
  <si>
    <t>Gillette</t>
  </si>
  <si>
    <t>Green River</t>
  </si>
  <si>
    <t>Lander</t>
  </si>
  <si>
    <t>Laramie</t>
  </si>
  <si>
    <t>Sheridan</t>
  </si>
  <si>
    <t>Cody</t>
  </si>
  <si>
    <t>Jackson</t>
  </si>
  <si>
    <t>Evanston</t>
  </si>
  <si>
    <t>Kemmerer</t>
  </si>
  <si>
    <t>Rawlins</t>
  </si>
  <si>
    <t>Douglas</t>
  </si>
  <si>
    <t>Torrington</t>
  </si>
  <si>
    <t>Basin</t>
  </si>
  <si>
    <t>Pinedale</t>
  </si>
  <si>
    <t>Wheatland</t>
  </si>
  <si>
    <t>Buffalo</t>
  </si>
  <si>
    <t>Worland</t>
  </si>
  <si>
    <t>Sundance</t>
  </si>
  <si>
    <t>Newcastle</t>
  </si>
  <si>
    <t>Thermopolis</t>
  </si>
  <si>
    <t>Lusk</t>
  </si>
  <si>
    <t>County population</t>
  </si>
  <si>
    <t>Does director have MLS?</t>
  </si>
  <si>
    <t>Librarian FTEs</t>
  </si>
  <si>
    <t>Librarian FTEs with MLS</t>
  </si>
  <si>
    <t>% of Librarian FTEs with MLS</t>
  </si>
  <si>
    <t>Non-librarian FTEs</t>
  </si>
  <si>
    <t>Total staff FTEs</t>
  </si>
  <si>
    <t>FTEs per 1,000 population</t>
  </si>
  <si>
    <t>Number of staff positions</t>
  </si>
  <si>
    <t>Total operating expense</t>
  </si>
  <si>
    <t>Total operating per capita</t>
  </si>
  <si>
    <t>Staff expense</t>
  </si>
  <si>
    <t>Staff % of Total</t>
  </si>
  <si>
    <t>Collection expense</t>
  </si>
  <si>
    <t>Collection % of Total</t>
  </si>
  <si>
    <t>Other expense</t>
  </si>
  <si>
    <t>Other % of Total</t>
  </si>
  <si>
    <t>Salary expense</t>
  </si>
  <si>
    <t>Benefit expense</t>
  </si>
  <si>
    <t>Total staff expense</t>
  </si>
  <si>
    <t>% Benefits to total staffing</t>
  </si>
  <si>
    <t>Staff Expense Per Capita</t>
  </si>
  <si>
    <t>Total collection expense</t>
  </si>
  <si>
    <t>Collection expense per capita</t>
  </si>
  <si>
    <t>Print materials expense</t>
  </si>
  <si>
    <t>Print % of total</t>
  </si>
  <si>
    <t>Electronic materials expense</t>
  </si>
  <si>
    <t>Electronic % of total</t>
  </si>
  <si>
    <t>Other materials</t>
  </si>
  <si>
    <t>Other % of total</t>
  </si>
  <si>
    <t>Local government income</t>
  </si>
  <si>
    <t>Total operating income</t>
  </si>
  <si>
    <t>Income per capita</t>
  </si>
  <si>
    <t>County</t>
  </si>
  <si>
    <t>Non-county</t>
  </si>
  <si>
    <t>Total local</t>
  </si>
  <si>
    <t>Income from state govt.</t>
  </si>
  <si>
    <t>Income from federal govt.</t>
  </si>
  <si>
    <t>Other income</t>
  </si>
  <si>
    <t>% Other of total</t>
  </si>
  <si>
    <t>% Local government of total</t>
  </si>
  <si>
    <t>Local capital revenue</t>
  </si>
  <si>
    <t>State capital revenue</t>
  </si>
  <si>
    <t>Federal capital revenue</t>
  </si>
  <si>
    <t>Other capital revenue</t>
  </si>
  <si>
    <t>Total capital revenue</t>
  </si>
  <si>
    <t>Capital expenditures</t>
  </si>
  <si>
    <t>Registered borrowers</t>
  </si>
  <si>
    <t>Annual hours open</t>
  </si>
  <si>
    <t>Library visits</t>
  </si>
  <si>
    <t>Visits per capita</t>
  </si>
  <si>
    <t>Reference questions</t>
  </si>
  <si>
    <t>Reference per capita</t>
  </si>
  <si>
    <t>Meeting room uses</t>
  </si>
  <si>
    <t>Borrowers % of population</t>
  </si>
  <si>
    <t>Print materials</t>
  </si>
  <si>
    <t>Print items per capita</t>
  </si>
  <si>
    <t>Video per 1,000 population</t>
  </si>
  <si>
    <t>Print subscriptions</t>
  </si>
  <si>
    <t>Subscriptions per 1,000 population</t>
  </si>
  <si>
    <t>Video materials (physical)</t>
  </si>
  <si>
    <t>Downloadable state-licensed audiobooks</t>
  </si>
  <si>
    <t>Downloadable video</t>
  </si>
  <si>
    <t>State-purchased ebooks</t>
  </si>
  <si>
    <t>Locally purchased ebooks</t>
  </si>
  <si>
    <t>Locally purchased downloadable audiobooks</t>
  </si>
  <si>
    <t xml:space="preserve">*State-purchased downloadables are available to every library. </t>
  </si>
  <si>
    <t xml:space="preserve">Some local purchases are shared statewide, while others are only available in limited libraries. </t>
  </si>
  <si>
    <t>Total circulation</t>
  </si>
  <si>
    <t>Circulation per capita</t>
  </si>
  <si>
    <t>Electronic materials circulation</t>
  </si>
  <si>
    <t>Electronic % of total circ</t>
  </si>
  <si>
    <t>Children's circulation</t>
  </si>
  <si>
    <t>Children's % of total circ</t>
  </si>
  <si>
    <t>Interlibrary loans to other libraries</t>
  </si>
  <si>
    <t>Interlibrary loans from other libraries</t>
  </si>
  <si>
    <t>ILL ratio: loans made to loans received</t>
  </si>
  <si>
    <t>Databases by licensing arrangement</t>
  </si>
  <si>
    <t>Total databases</t>
  </si>
  <si>
    <t>Public computers</t>
  </si>
  <si>
    <t>Computer uses</t>
  </si>
  <si>
    <t>Computer use per capita</t>
  </si>
  <si>
    <t>State</t>
  </si>
  <si>
    <t>Local or other</t>
  </si>
  <si>
    <t>Wireless sessions</t>
  </si>
  <si>
    <t>Computers per 1,000 population</t>
  </si>
  <si>
    <t>TOTAL</t>
  </si>
  <si>
    <t>CHILDREN'S</t>
  </si>
  <si>
    <t>YOUNG ADULT (YA)</t>
  </si>
  <si>
    <t>Summer Reading Participants</t>
  </si>
  <si>
    <t>Public programs</t>
  </si>
  <si>
    <t>Program attendance</t>
  </si>
  <si>
    <t>Programs</t>
  </si>
  <si>
    <t>Attendance</t>
  </si>
  <si>
    <t>Children</t>
  </si>
  <si>
    <t>Adults</t>
  </si>
  <si>
    <t xml:space="preserve">TOTAL </t>
  </si>
  <si>
    <t>OTHER</t>
  </si>
  <si>
    <t>Library</t>
  </si>
  <si>
    <t>ZIP</t>
  </si>
  <si>
    <t>Type</t>
  </si>
  <si>
    <t>Square Feet</t>
  </si>
  <si>
    <t>Hours open per year</t>
  </si>
  <si>
    <t>Weeks open per year</t>
  </si>
  <si>
    <t>Albany</t>
  </si>
  <si>
    <t>Main library</t>
  </si>
  <si>
    <t>Centennial Valley Branch Library</t>
  </si>
  <si>
    <t>27 2nd St</t>
  </si>
  <si>
    <t>Centennial</t>
  </si>
  <si>
    <t>307-745-8393</t>
  </si>
  <si>
    <t>Branch</t>
  </si>
  <si>
    <t>Rock River Branch Library</t>
  </si>
  <si>
    <t>321 Ave D</t>
  </si>
  <si>
    <t>Rock River</t>
  </si>
  <si>
    <t>307-378-2386</t>
  </si>
  <si>
    <t>Big Horn</t>
  </si>
  <si>
    <t>Deaver Branch Library</t>
  </si>
  <si>
    <t>180 W 1st</t>
  </si>
  <si>
    <t>Deaver</t>
  </si>
  <si>
    <t>None</t>
  </si>
  <si>
    <t>Frannie Branch Library</t>
  </si>
  <si>
    <t>311 4th St</t>
  </si>
  <si>
    <t>Frannie</t>
  </si>
  <si>
    <t>Greybull Branch Library</t>
  </si>
  <si>
    <t>325 Greybull Ave</t>
  </si>
  <si>
    <t>Greybull</t>
  </si>
  <si>
    <t>307-765-2551</t>
  </si>
  <si>
    <t>Lovell Branch Library</t>
  </si>
  <si>
    <t>300 Oregon Ave</t>
  </si>
  <si>
    <t>Lovell</t>
  </si>
  <si>
    <t>307-548-7228</t>
  </si>
  <si>
    <t>Campbell</t>
  </si>
  <si>
    <t>2101 South 4-J Road</t>
  </si>
  <si>
    <t>Wright Branch Library</t>
  </si>
  <si>
    <t>305 Wright Blvd</t>
  </si>
  <si>
    <t>Wright</t>
  </si>
  <si>
    <t>307-464-0500</t>
  </si>
  <si>
    <t>Carbon</t>
  </si>
  <si>
    <t>Rawlins Library</t>
  </si>
  <si>
    <t>215 W Buffalo St</t>
  </si>
  <si>
    <t>105 2nd St</t>
  </si>
  <si>
    <t>Baggs</t>
  </si>
  <si>
    <t>307-383-7323</t>
  </si>
  <si>
    <t>Elk Mountain Library</t>
  </si>
  <si>
    <t>105 Bridge St</t>
  </si>
  <si>
    <t>Elk Mountain</t>
  </si>
  <si>
    <t>307-348-7421</t>
  </si>
  <si>
    <t>Encampment/Riverside Library</t>
  </si>
  <si>
    <t>202 Rankin Ave</t>
  </si>
  <si>
    <t>Encampment</t>
  </si>
  <si>
    <t>307-327-5775</t>
  </si>
  <si>
    <t>Hanna Library</t>
  </si>
  <si>
    <t>303 3rd St</t>
  </si>
  <si>
    <t>Hanna</t>
  </si>
  <si>
    <t>307-325-9357</t>
  </si>
  <si>
    <t>Medicine Bow Library</t>
  </si>
  <si>
    <t>314 Sage St</t>
  </si>
  <si>
    <t>Medicine Bow</t>
  </si>
  <si>
    <t>307-379-2888</t>
  </si>
  <si>
    <t>Saratoga Library</t>
  </si>
  <si>
    <t>503 W Elm St</t>
  </si>
  <si>
    <t>Saratoga</t>
  </si>
  <si>
    <t>307-326-8209</t>
  </si>
  <si>
    <t>Sinclair Library</t>
  </si>
  <si>
    <t>7th &amp; Lincoln Ave</t>
  </si>
  <si>
    <t>Sinclair</t>
  </si>
  <si>
    <t>307-324-6231</t>
  </si>
  <si>
    <t>Converse</t>
  </si>
  <si>
    <t>Glenrock Branch Library</t>
  </si>
  <si>
    <t>518 S 4th</t>
  </si>
  <si>
    <t>Glenrock</t>
  </si>
  <si>
    <t>307-436-2573</t>
  </si>
  <si>
    <t>Crook</t>
  </si>
  <si>
    <t>414 Main St</t>
  </si>
  <si>
    <t>Hulett Branch Library</t>
  </si>
  <si>
    <t>401 Sager</t>
  </si>
  <si>
    <t>Hulett</t>
  </si>
  <si>
    <t>307-467-5676</t>
  </si>
  <si>
    <t>Moorcroft Branch Library</t>
  </si>
  <si>
    <t>105 E Converse</t>
  </si>
  <si>
    <t>Moorcroft</t>
  </si>
  <si>
    <t>307-756-3232</t>
  </si>
  <si>
    <t>Fremont</t>
  </si>
  <si>
    <t>Dubois Branch Library</t>
  </si>
  <si>
    <t>202 N 1st St</t>
  </si>
  <si>
    <t>Dubois</t>
  </si>
  <si>
    <t>307-455-2992</t>
  </si>
  <si>
    <t>Riverton Branch Library</t>
  </si>
  <si>
    <t>1330 West Park Ave</t>
  </si>
  <si>
    <t>Riverton</t>
  </si>
  <si>
    <t>307-856-3556</t>
  </si>
  <si>
    <t>Goshen</t>
  </si>
  <si>
    <t>Hot Springs</t>
  </si>
  <si>
    <t>Johnson</t>
  </si>
  <si>
    <t>Kaycee Branch Library</t>
  </si>
  <si>
    <t>231 Ritter Ave</t>
  </si>
  <si>
    <t>Kaycee</t>
  </si>
  <si>
    <t>307-738-2473</t>
  </si>
  <si>
    <t>Laramie County Library System - Bookmobile</t>
  </si>
  <si>
    <t>Bookmobile</t>
  </si>
  <si>
    <t>Burns Branch Library</t>
  </si>
  <si>
    <t>112 Main St</t>
  </si>
  <si>
    <t>Burns</t>
  </si>
  <si>
    <t>307-547-2249</t>
  </si>
  <si>
    <t>Pine Bluffs Branch Library</t>
  </si>
  <si>
    <t>110 E 2nd St</t>
  </si>
  <si>
    <t>Pine Bluffs</t>
  </si>
  <si>
    <t>307-245-3646</t>
  </si>
  <si>
    <t>Lincoln</t>
  </si>
  <si>
    <t>519 Emerald</t>
  </si>
  <si>
    <t>Alpine Branch Library</t>
  </si>
  <si>
    <t>243 River Circle</t>
  </si>
  <si>
    <t>Alpine</t>
  </si>
  <si>
    <t>307-654-7323</t>
  </si>
  <si>
    <t>Cokeville Branch Library</t>
  </si>
  <si>
    <t>240 E Main St</t>
  </si>
  <si>
    <t>Cokeville</t>
  </si>
  <si>
    <t>307-279-3213</t>
  </si>
  <si>
    <t>Labarge Branch Library</t>
  </si>
  <si>
    <t>262 Main St</t>
  </si>
  <si>
    <t>Labarge</t>
  </si>
  <si>
    <t>307-386-2571</t>
  </si>
  <si>
    <t>Star Valley Branch Library</t>
  </si>
  <si>
    <t>261 Washington St</t>
  </si>
  <si>
    <t>Afton</t>
  </si>
  <si>
    <t>307-885-3158</t>
  </si>
  <si>
    <t>Thayne Branch Library</t>
  </si>
  <si>
    <t>250 Van Noy Parkway</t>
  </si>
  <si>
    <t>Thayne</t>
  </si>
  <si>
    <t>307-883-7323</t>
  </si>
  <si>
    <t>Natrona</t>
  </si>
  <si>
    <t>Natrona County Public Library - Bookmobile</t>
  </si>
  <si>
    <t>Mj Davis Memorial Library</t>
  </si>
  <si>
    <t>303 N 2nd</t>
  </si>
  <si>
    <t>Edgerton</t>
  </si>
  <si>
    <t>307-437-6617</t>
  </si>
  <si>
    <t>Niobrara</t>
  </si>
  <si>
    <t>425 S Main Street</t>
  </si>
  <si>
    <t>Park</t>
  </si>
  <si>
    <t>Park County Library</t>
  </si>
  <si>
    <t>Meeteetse Branch Library</t>
  </si>
  <si>
    <t>2107 Idaho</t>
  </si>
  <si>
    <t>Meeteetse</t>
  </si>
  <si>
    <t>307-868-2248</t>
  </si>
  <si>
    <t>Powell Branch Library</t>
  </si>
  <si>
    <t>217 East 3rd</t>
  </si>
  <si>
    <t>Powell</t>
  </si>
  <si>
    <t>307-754-8828</t>
  </si>
  <si>
    <t>Platte</t>
  </si>
  <si>
    <t>Chugwater Branch Library</t>
  </si>
  <si>
    <t>301 2nd St</t>
  </si>
  <si>
    <t>Chugwater</t>
  </si>
  <si>
    <t>307-422-3275</t>
  </si>
  <si>
    <t>Glendo Branch Library</t>
  </si>
  <si>
    <t>213 2nd St</t>
  </si>
  <si>
    <t>Glendo</t>
  </si>
  <si>
    <t>307-735-4480</t>
  </si>
  <si>
    <t>Guernsey Branch Library</t>
  </si>
  <si>
    <t>108 S. Wyoming Ave.</t>
  </si>
  <si>
    <t>Guernsey</t>
  </si>
  <si>
    <t>307-836-2816</t>
  </si>
  <si>
    <t>Sheridan Fulmer Library</t>
  </si>
  <si>
    <t>Clearmont Branch Library</t>
  </si>
  <si>
    <t>1240 Front St</t>
  </si>
  <si>
    <t>Clearmont</t>
  </si>
  <si>
    <t>307-758-4331</t>
  </si>
  <si>
    <t>Story Branch Library</t>
  </si>
  <si>
    <t>20 N Piney</t>
  </si>
  <si>
    <t>Story</t>
  </si>
  <si>
    <t>307-683-2922</t>
  </si>
  <si>
    <t>Tongue River Branch Library</t>
  </si>
  <si>
    <t>145 Coffeen</t>
  </si>
  <si>
    <t>Ranchester</t>
  </si>
  <si>
    <t>307-655-9726</t>
  </si>
  <si>
    <t>Sublette</t>
  </si>
  <si>
    <t>Pinedale Library</t>
  </si>
  <si>
    <t>307-367-4115</t>
  </si>
  <si>
    <t>Big Piney Library</t>
  </si>
  <si>
    <t>106 Fish St</t>
  </si>
  <si>
    <t>Big Piney</t>
  </si>
  <si>
    <t>307-276-3515</t>
  </si>
  <si>
    <t>Sweetwater</t>
  </si>
  <si>
    <t>Sweetwater County Library</t>
  </si>
  <si>
    <t>300 N 1st St East</t>
  </si>
  <si>
    <t>307-875-3615</t>
  </si>
  <si>
    <t>Bairoil Branch Library</t>
  </si>
  <si>
    <t>101 Bluebell St</t>
  </si>
  <si>
    <t>Bairoil</t>
  </si>
  <si>
    <t>307-328-0239</t>
  </si>
  <si>
    <t>Community Fine Arts Center Branch Library</t>
  </si>
  <si>
    <t>400 C Street</t>
  </si>
  <si>
    <t>Rock Springs</t>
  </si>
  <si>
    <t>307-362-6212</t>
  </si>
  <si>
    <t>Farson Branch Library</t>
  </si>
  <si>
    <t>30 Hwy 28, Farson-Eden School Bldg</t>
  </si>
  <si>
    <t>Farson</t>
  </si>
  <si>
    <t>307-273-9301</t>
  </si>
  <si>
    <t>Granger Branch Library</t>
  </si>
  <si>
    <t>60 Spruce St</t>
  </si>
  <si>
    <t>Granger</t>
  </si>
  <si>
    <t>307-875-8038</t>
  </si>
  <si>
    <t>Reliance Branch Library</t>
  </si>
  <si>
    <t>1329 Main St</t>
  </si>
  <si>
    <t>Reliance</t>
  </si>
  <si>
    <t>307-352-6670</t>
  </si>
  <si>
    <t>Rock Springs Library</t>
  </si>
  <si>
    <t>307-352-6667</t>
  </si>
  <si>
    <t>Superior Branch Library</t>
  </si>
  <si>
    <t>3 N Main St</t>
  </si>
  <si>
    <t>Superior</t>
  </si>
  <si>
    <t>307-352-6671</t>
  </si>
  <si>
    <t>Wamsutter Branch Library</t>
  </si>
  <si>
    <t>230 Tierney Lot 44</t>
  </si>
  <si>
    <t>Wamsutter</t>
  </si>
  <si>
    <t>307-324-9121</t>
  </si>
  <si>
    <t>White Mountain Library</t>
  </si>
  <si>
    <t>2935 Sweetwater Drive</t>
  </si>
  <si>
    <t>307-362-2665</t>
  </si>
  <si>
    <t>Teton</t>
  </si>
  <si>
    <t>125 Virginian Ln</t>
  </si>
  <si>
    <t>Alta Branch Library</t>
  </si>
  <si>
    <t>15 Alta School Rd</t>
  </si>
  <si>
    <t>Alta</t>
  </si>
  <si>
    <t>307-353-2472</t>
  </si>
  <si>
    <t>Uinta</t>
  </si>
  <si>
    <t>Lyman Branch Library</t>
  </si>
  <si>
    <t>129 South Franklin St.</t>
  </si>
  <si>
    <t>Lyman</t>
  </si>
  <si>
    <t>307-787-6556</t>
  </si>
  <si>
    <t>Mountain View Branch Library</t>
  </si>
  <si>
    <t>322 W 2nd St</t>
  </si>
  <si>
    <t>Mountain View</t>
  </si>
  <si>
    <t>307-782-3161</t>
  </si>
  <si>
    <t>Washakie</t>
  </si>
  <si>
    <t>Ten Sleep Branch/School Library</t>
  </si>
  <si>
    <t>200 N. Fir St.</t>
  </si>
  <si>
    <t>Ten Sleep</t>
  </si>
  <si>
    <t>307-366-2348</t>
  </si>
  <si>
    <t>Weston</t>
  </si>
  <si>
    <t>Upton Branch Library</t>
  </si>
  <si>
    <t>722 4th St</t>
  </si>
  <si>
    <t>Upton</t>
  </si>
  <si>
    <t>307-468-2324</t>
  </si>
  <si>
    <t>1500 Heart Mountain St.</t>
  </si>
  <si>
    <t>Population of the Legal Service Area</t>
  </si>
  <si>
    <t>Total Paid Employees FTE</t>
  </si>
  <si>
    <t>Total Operating Expenditures</t>
  </si>
  <si>
    <t>Total Operating Expenditures per Capita</t>
  </si>
  <si>
    <t>Print Materials</t>
  </si>
  <si>
    <t>Library Visits</t>
  </si>
  <si>
    <t>Total Circulation</t>
  </si>
  <si>
    <t>Internet Computers Used by General Public</t>
  </si>
  <si>
    <t>Uses of Public Internet Computers Per Year</t>
  </si>
  <si>
    <t>Audio - Physical Units</t>
  </si>
  <si>
    <t>Video - Physical Units</t>
  </si>
  <si>
    <t>FY2019</t>
  </si>
  <si>
    <t>Sweetwater County Library System*</t>
  </si>
  <si>
    <t>*Unable to provide library visit data</t>
  </si>
  <si>
    <t>FY2020</t>
  </si>
  <si>
    <t>801 Big Horn Ave. Ste. 100</t>
  </si>
  <si>
    <t>Other physical materials</t>
  </si>
  <si>
    <t>FY2021</t>
  </si>
  <si>
    <t>Audio materials (physical)</t>
  </si>
  <si>
    <t>Physical audio per 1,000 population</t>
  </si>
  <si>
    <t>Population July 1, 2022</t>
  </si>
  <si>
    <t>Albany County Public Library**</t>
  </si>
  <si>
    <t>**Unable to provide library hours open data</t>
  </si>
  <si>
    <t>307-332-1600</t>
  </si>
  <si>
    <t>www.acplwy.org</t>
  </si>
  <si>
    <t>www.yourccl.org/</t>
  </si>
  <si>
    <t>goshencountylibrary.org</t>
  </si>
  <si>
    <t>www.bhcwylibrarysystem.com/</t>
  </si>
  <si>
    <t>171 North Adams Avenue</t>
  </si>
  <si>
    <t>801 Big Horn Ave., Suite 100</t>
  </si>
  <si>
    <t>www.crookcountylibrary.org</t>
  </si>
  <si>
    <t>23 West Main Street</t>
  </si>
  <si>
    <t>FY2022</t>
  </si>
  <si>
    <t>Wyoming Public Libraries selected 5-year trends</t>
  </si>
  <si>
    <t>Albany County Public Library - Bookmobile</t>
  </si>
  <si>
    <t>n/a</t>
  </si>
  <si>
    <t>Little Snake River Valley Library</t>
  </si>
  <si>
    <t>Wyoming Public Library Systems FY23 (July 1, 2022 - June 30, 2023) - General Information</t>
  </si>
  <si>
    <t>Wyoming Public Library Systems FY23 (July 1, 2022 - June 30, 2023) - Outlets</t>
  </si>
  <si>
    <t>Wyoming Public Library Systems FY23 (July 1, 2022 - June 30, 2023) - Staffing</t>
  </si>
  <si>
    <t>Wyoming Public Library Systems FY23 (July 1, 2022 - June 30, 2023) - Expenditures</t>
  </si>
  <si>
    <t>Wyoming Public Library Systems FY23 (July 1, 2022 - June 30, 2023) - Staff Expenditures</t>
  </si>
  <si>
    <t>Wyoming Public Library Systems FY23 (July 1, 2022 - June 30, 2023) - Materials Expenditures</t>
  </si>
  <si>
    <t>Wyoming Public Library Systems FY23 (July 1, 2022 - June 30, 2023) - Operating Income</t>
  </si>
  <si>
    <t>Wyoming Public Library Systems FY23 (July 1, 2022 - June 30, 2023) - Capital Revenue and Expenditures</t>
  </si>
  <si>
    <t>Wyoming Public Library Systems FY23 (July 1, 2022 - June 30, 2023) - Hours and Use</t>
  </si>
  <si>
    <t>Wyoming Public Library Systems FY23 (July 1, 2022 - June 30, 2023) - Physical Collections</t>
  </si>
  <si>
    <t>Wyoming Public Library Systems FY23 (July 1, 2022 - June 30, 2023) - Downloadables*</t>
  </si>
  <si>
    <t>Wyoming Public Library Systems FY23 (July 1, 2022 - June 30, 2023) - Circulation</t>
  </si>
  <si>
    <t>Wyoming Public Library Systems FY23 (July 1, 2022 - June 30, 2023) - Electronic Resources</t>
  </si>
  <si>
    <t>Wyoming Public Library Systems FY23 (July 1, 2022 - June 30, 2023) - Public Programs</t>
  </si>
  <si>
    <t>Population July 1, 2023</t>
  </si>
  <si>
    <t>—</t>
  </si>
  <si>
    <t>done</t>
  </si>
  <si>
    <t>auto</t>
  </si>
  <si>
    <t>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</si>
</sst>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0.0"/>
    <numFmt numFmtId="167" formatCode="&quot;$&quot;#,##0.00"/>
    <numFmt numFmtId="168" formatCode="#,##0.0"/>
    <numFmt numFmtId="169" formatCode="[&lt;=9999999]###\-####;\(###\)\ ###\-####"/>
    <numFmt numFmtId="170" formatCode="[&lt;=999999999999999]###\-####;\(###\)\ ###\-####\ \x#####"/>
    <numFmt numFmtId="171" formatCode="[&lt;=99999]00000;[&lt;=999999999]00000\-0000"/>
    <numFmt numFmtId="172" formatCode="_(&quot;$&quot;* #,##0_);_(&quot;$&quot;* \(#,##0\);_(&quot;$&quot;* &quot;-&quot;??_);_(@_)"/>
    <numFmt numFmtId="173" formatCode="_(* #,##0.0_);_(* \(#,##0.0\);_(* &quot;-&quot;??_);_(@_)"/>
    <numFmt numFmtId="174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8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7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2" applyNumberFormat="0" applyAlignment="0" applyProtection="0"/>
    <xf numFmtId="0" fontId="13" fillId="28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12" applyNumberFormat="0" applyAlignment="0" applyProtection="0"/>
    <xf numFmtId="0" fontId="20" fillId="0" borderId="17" applyNumberFormat="0" applyFill="0" applyAlignment="0" applyProtection="0"/>
    <xf numFmtId="0" fontId="21" fillId="31" borderId="0" applyNumberFormat="0" applyBorder="0" applyAlignment="0" applyProtection="0"/>
    <xf numFmtId="0" fontId="1" fillId="0" borderId="0"/>
    <xf numFmtId="0" fontId="22" fillId="0" borderId="0"/>
    <xf numFmtId="0" fontId="22" fillId="0" borderId="0"/>
    <xf numFmtId="0" fontId="9" fillId="0" borderId="0"/>
    <xf numFmtId="0" fontId="1" fillId="0" borderId="0"/>
    <xf numFmtId="0" fontId="3" fillId="0" borderId="0"/>
    <xf numFmtId="0" fontId="9" fillId="32" borderId="18" applyNumberFormat="0" applyFont="0" applyAlignment="0" applyProtection="0"/>
    <xf numFmtId="0" fontId="23" fillId="27" borderId="19" applyNumberFormat="0" applyAlignment="0" applyProtection="0"/>
    <xf numFmtId="8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171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  <xf numFmtId="9" fontId="33" fillId="0" borderId="0" applyFont="0" applyFill="0" applyBorder="0" applyAlignment="0" applyProtection="0"/>
  </cellStyleXfs>
  <cellXfs count="29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6" fontId="0" fillId="0" borderId="0" xfId="0" applyNumberFormat="1"/>
    <xf numFmtId="3" fontId="0" fillId="0" borderId="0" xfId="0" applyNumberFormat="1"/>
    <xf numFmtId="0" fontId="4" fillId="0" borderId="1" xfId="45" applyNumberFormat="1" applyFont="1" applyFill="1" applyBorder="1" applyAlignment="1"/>
    <xf numFmtId="0" fontId="25" fillId="33" borderId="2" xfId="0" applyFont="1" applyFill="1" applyBorder="1"/>
    <xf numFmtId="0" fontId="0" fillId="0" borderId="1" xfId="0" applyBorder="1"/>
    <xf numFmtId="0" fontId="2" fillId="0" borderId="1" xfId="0" applyFont="1" applyBorder="1" applyAlignment="1">
      <alignment vertical="center"/>
    </xf>
    <xf numFmtId="6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/>
    <xf numFmtId="0" fontId="5" fillId="33" borderId="2" xfId="0" applyFont="1" applyFill="1" applyBorder="1"/>
    <xf numFmtId="3" fontId="1" fillId="0" borderId="0" xfId="0" applyNumberFormat="1" applyFont="1"/>
    <xf numFmtId="3" fontId="1" fillId="0" borderId="1" xfId="0" applyNumberFormat="1" applyFont="1" applyBorder="1"/>
    <xf numFmtId="3" fontId="5" fillId="33" borderId="2" xfId="0" applyNumberFormat="1" applyFont="1" applyFill="1" applyBorder="1"/>
    <xf numFmtId="2" fontId="0" fillId="0" borderId="0" xfId="0" applyNumberFormat="1"/>
    <xf numFmtId="2" fontId="0" fillId="0" borderId="1" xfId="0" applyNumberFormat="1" applyBorder="1"/>
    <xf numFmtId="2" fontId="5" fillId="33" borderId="2" xfId="0" applyNumberFormat="1" applyFont="1" applyFill="1" applyBorder="1"/>
    <xf numFmtId="164" fontId="0" fillId="0" borderId="0" xfId="0" applyNumberFormat="1"/>
    <xf numFmtId="164" fontId="0" fillId="0" borderId="1" xfId="0" applyNumberFormat="1" applyBorder="1"/>
    <xf numFmtId="164" fontId="5" fillId="33" borderId="2" xfId="0" applyNumberFormat="1" applyFont="1" applyFill="1" applyBorder="1"/>
    <xf numFmtId="3" fontId="5" fillId="33" borderId="2" xfId="0" applyNumberFormat="1" applyFont="1" applyFill="1" applyBorder="1" applyAlignment="1">
      <alignment horizontal="center"/>
    </xf>
    <xf numFmtId="2" fontId="27" fillId="0" borderId="0" xfId="0" applyNumberFormat="1" applyFont="1"/>
    <xf numFmtId="164" fontId="27" fillId="0" borderId="0" xfId="0" applyNumberFormat="1" applyFont="1"/>
    <xf numFmtId="3" fontId="27" fillId="0" borderId="0" xfId="0" applyNumberFormat="1" applyFont="1"/>
    <xf numFmtId="0" fontId="27" fillId="0" borderId="0" xfId="0" applyFont="1"/>
    <xf numFmtId="0" fontId="5" fillId="34" borderId="3" xfId="40" applyFont="1" applyFill="1" applyBorder="1" applyAlignment="1">
      <alignment wrapText="1"/>
    </xf>
    <xf numFmtId="3" fontId="5" fillId="34" borderId="3" xfId="40" applyNumberFormat="1" applyFont="1" applyFill="1" applyBorder="1" applyAlignment="1">
      <alignment horizontal="center" wrapText="1"/>
    </xf>
    <xf numFmtId="38" fontId="5" fillId="34" borderId="3" xfId="40" quotePrefix="1" applyNumberFormat="1" applyFont="1" applyFill="1" applyBorder="1" applyAlignment="1">
      <alignment horizontal="center" wrapText="1"/>
    </xf>
    <xf numFmtId="10" fontId="5" fillId="34" borderId="3" xfId="40" applyNumberFormat="1" applyFont="1" applyFill="1" applyBorder="1" applyAlignment="1">
      <alignment horizontal="center" wrapText="1"/>
    </xf>
    <xf numFmtId="0" fontId="28" fillId="34" borderId="3" xfId="0" applyFont="1" applyFill="1" applyBorder="1" applyAlignment="1">
      <alignment horizontal="center" wrapText="1"/>
    </xf>
    <xf numFmtId="0" fontId="28" fillId="34" borderId="3" xfId="0" applyFont="1" applyFill="1" applyBorder="1" applyAlignment="1">
      <alignment horizontal="center"/>
    </xf>
    <xf numFmtId="3" fontId="5" fillId="34" borderId="3" xfId="0" applyNumberFormat="1" applyFont="1" applyFill="1" applyBorder="1" applyAlignment="1">
      <alignment horizontal="center" wrapText="1"/>
    </xf>
    <xf numFmtId="0" fontId="4" fillId="35" borderId="3" xfId="45" applyNumberFormat="1" applyFont="1" applyFill="1" applyBorder="1" applyAlignment="1">
      <alignment horizontal="center" wrapText="1"/>
    </xf>
    <xf numFmtId="38" fontId="0" fillId="0" borderId="0" xfId="0" applyNumberFormat="1"/>
    <xf numFmtId="38" fontId="0" fillId="0" borderId="1" xfId="0" applyNumberFormat="1" applyBorder="1"/>
    <xf numFmtId="10" fontId="0" fillId="0" borderId="0" xfId="0" applyNumberFormat="1"/>
    <xf numFmtId="10" fontId="29" fillId="0" borderId="0" xfId="0" applyNumberFormat="1" applyFont="1"/>
    <xf numFmtId="0" fontId="2" fillId="36" borderId="0" xfId="0" applyFont="1" applyFill="1" applyAlignment="1">
      <alignment vertical="center"/>
    </xf>
    <xf numFmtId="0" fontId="0" fillId="36" borderId="0" xfId="0" applyFill="1"/>
    <xf numFmtId="3" fontId="0" fillId="36" borderId="0" xfId="0" applyNumberFormat="1" applyFill="1"/>
    <xf numFmtId="2" fontId="0" fillId="36" borderId="0" xfId="0" applyNumberFormat="1" applyFill="1"/>
    <xf numFmtId="6" fontId="0" fillId="36" borderId="0" xfId="0" applyNumberFormat="1" applyFill="1"/>
    <xf numFmtId="164" fontId="0" fillId="36" borderId="0" xfId="0" applyNumberFormat="1" applyFill="1"/>
    <xf numFmtId="3" fontId="1" fillId="36" borderId="0" xfId="0" applyNumberFormat="1" applyFont="1" applyFill="1"/>
    <xf numFmtId="38" fontId="0" fillId="36" borderId="0" xfId="0" applyNumberFormat="1" applyFill="1"/>
    <xf numFmtId="0" fontId="1" fillId="36" borderId="0" xfId="0" applyFont="1" applyFill="1"/>
    <xf numFmtId="10" fontId="29" fillId="36" borderId="0" xfId="0" applyNumberFormat="1" applyFont="1" applyFill="1"/>
    <xf numFmtId="2" fontId="4" fillId="35" borderId="3" xfId="45" applyNumberFormat="1" applyFont="1" applyFill="1" applyBorder="1" applyAlignment="1">
      <alignment horizontal="center" wrapText="1"/>
    </xf>
    <xf numFmtId="165" fontId="4" fillId="35" borderId="3" xfId="45" applyNumberFormat="1" applyFont="1" applyFill="1" applyBorder="1" applyAlignment="1">
      <alignment horizontal="center" wrapText="1"/>
    </xf>
    <xf numFmtId="1" fontId="4" fillId="35" borderId="3" xfId="45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4" xfId="0" applyNumberFormat="1" applyBorder="1"/>
    <xf numFmtId="165" fontId="0" fillId="0" borderId="0" xfId="0" applyNumberFormat="1"/>
    <xf numFmtId="165" fontId="0" fillId="0" borderId="4" xfId="0" applyNumberFormat="1" applyBorder="1"/>
    <xf numFmtId="165" fontId="0" fillId="36" borderId="0" xfId="0" applyNumberFormat="1" applyFill="1"/>
    <xf numFmtId="165" fontId="0" fillId="0" borderId="1" xfId="0" applyNumberFormat="1" applyBorder="1"/>
    <xf numFmtId="165" fontId="5" fillId="33" borderId="2" xfId="0" applyNumberFormat="1" applyFont="1" applyFill="1" applyBorder="1"/>
    <xf numFmtId="0" fontId="4" fillId="35" borderId="3" xfId="45" applyNumberFormat="1" applyFont="1" applyFill="1" applyBorder="1" applyAlignment="1">
      <alignment wrapText="1"/>
    </xf>
    <xf numFmtId="164" fontId="4" fillId="35" borderId="3" xfId="45" applyNumberFormat="1" applyFont="1" applyFill="1" applyBorder="1" applyAlignment="1">
      <alignment horizontal="center" wrapText="1"/>
    </xf>
    <xf numFmtId="10" fontId="4" fillId="35" borderId="3" xfId="45" applyNumberFormat="1" applyFont="1" applyFill="1" applyBorder="1" applyAlignment="1">
      <alignment horizontal="center" wrapText="1"/>
    </xf>
    <xf numFmtId="167" fontId="0" fillId="0" borderId="1" xfId="0" applyNumberFormat="1" applyBorder="1"/>
    <xf numFmtId="167" fontId="0" fillId="0" borderId="0" xfId="0" applyNumberFormat="1"/>
    <xf numFmtId="167" fontId="0" fillId="36" borderId="0" xfId="0" applyNumberFormat="1" applyFill="1"/>
    <xf numFmtId="167" fontId="5" fillId="33" borderId="2" xfId="0" applyNumberFormat="1" applyFont="1" applyFill="1" applyBorder="1"/>
    <xf numFmtId="167" fontId="5" fillId="34" borderId="3" xfId="0" applyNumberFormat="1" applyFont="1" applyFill="1" applyBorder="1" applyAlignment="1">
      <alignment horizontal="center" wrapText="1"/>
    </xf>
    <xf numFmtId="0" fontId="27" fillId="34" borderId="3" xfId="0" applyFont="1" applyFill="1" applyBorder="1"/>
    <xf numFmtId="167" fontId="4" fillId="35" borderId="3" xfId="45" applyNumberFormat="1" applyFont="1" applyFill="1" applyBorder="1" applyAlignment="1">
      <alignment horizontal="center" wrapText="1"/>
    </xf>
    <xf numFmtId="0" fontId="28" fillId="34" borderId="5" xfId="0" applyFont="1" applyFill="1" applyBorder="1" applyAlignment="1"/>
    <xf numFmtId="0" fontId="27" fillId="34" borderId="5" xfId="0" applyFont="1" applyFill="1" applyBorder="1" applyAlignment="1"/>
    <xf numFmtId="0" fontId="0" fillId="34" borderId="5" xfId="0" applyFill="1" applyBorder="1" applyAlignment="1"/>
    <xf numFmtId="0" fontId="27" fillId="34" borderId="6" xfId="0" applyFont="1" applyFill="1" applyBorder="1"/>
    <xf numFmtId="0" fontId="4" fillId="35" borderId="6" xfId="45" applyNumberFormat="1" applyFont="1" applyFill="1" applyBorder="1" applyAlignment="1">
      <alignment horizontal="center" wrapText="1"/>
    </xf>
    <xf numFmtId="164" fontId="4" fillId="34" borderId="6" xfId="45" applyNumberFormat="1" applyFont="1" applyFill="1" applyBorder="1" applyAlignment="1">
      <alignment horizontal="center" wrapText="1"/>
    </xf>
    <xf numFmtId="167" fontId="4" fillId="34" borderId="6" xfId="45" applyNumberFormat="1" applyFont="1" applyFill="1" applyBorder="1" applyAlignment="1">
      <alignment horizontal="center" wrapText="1"/>
    </xf>
    <xf numFmtId="164" fontId="4" fillId="34" borderId="3" xfId="45" applyNumberFormat="1" applyFont="1" applyFill="1" applyBorder="1" applyAlignment="1">
      <alignment horizontal="center" wrapText="1"/>
    </xf>
    <xf numFmtId="165" fontId="4" fillId="34" borderId="6" xfId="45" applyNumberFormat="1" applyFont="1" applyFill="1" applyBorder="1" applyAlignment="1">
      <alignment horizontal="center" wrapText="1"/>
    </xf>
    <xf numFmtId="165" fontId="27" fillId="34" borderId="5" xfId="0" applyNumberFormat="1" applyFont="1" applyFill="1" applyBorder="1" applyAlignment="1"/>
    <xf numFmtId="165" fontId="0" fillId="34" borderId="5" xfId="0" applyNumberFormat="1" applyFill="1" applyBorder="1" applyAlignment="1"/>
    <xf numFmtId="167" fontId="27" fillId="34" borderId="5" xfId="0" applyNumberFormat="1" applyFont="1" applyFill="1" applyBorder="1" applyAlignment="1"/>
    <xf numFmtId="0" fontId="27" fillId="34" borderId="3" xfId="0" applyFont="1" applyFill="1" applyBorder="1" applyAlignment="1"/>
    <xf numFmtId="3" fontId="4" fillId="34" borderId="3" xfId="45" applyNumberFormat="1" applyFont="1" applyFill="1" applyBorder="1" applyAlignment="1">
      <alignment horizontal="center" wrapText="1"/>
    </xf>
    <xf numFmtId="165" fontId="4" fillId="34" borderId="3" xfId="45" applyNumberFormat="1" applyFont="1" applyFill="1" applyBorder="1" applyAlignment="1">
      <alignment horizontal="center" wrapText="1"/>
    </xf>
    <xf numFmtId="166" fontId="4" fillId="34" borderId="3" xfId="45" applyNumberFormat="1" applyFont="1" applyFill="1" applyBorder="1" applyAlignment="1">
      <alignment horizontal="center" wrapText="1"/>
    </xf>
    <xf numFmtId="2" fontId="4" fillId="34" borderId="3" xfId="45" applyNumberFormat="1" applyFont="1" applyFill="1" applyBorder="1" applyAlignment="1">
      <alignment horizontal="center" wrapText="1"/>
    </xf>
    <xf numFmtId="166" fontId="0" fillId="0" borderId="0" xfId="0" applyNumberFormat="1"/>
    <xf numFmtId="166" fontId="0" fillId="0" borderId="1" xfId="0" applyNumberFormat="1" applyBorder="1"/>
    <xf numFmtId="166" fontId="0" fillId="36" borderId="0" xfId="0" applyNumberFormat="1" applyFill="1"/>
    <xf numFmtId="166" fontId="5" fillId="33" borderId="2" xfId="0" applyNumberFormat="1" applyFont="1" applyFill="1" applyBorder="1"/>
    <xf numFmtId="0" fontId="4" fillId="34" borderId="3" xfId="45" applyNumberFormat="1" applyFont="1" applyFill="1" applyBorder="1" applyAlignment="1">
      <alignment horizontal="center" wrapText="1"/>
    </xf>
    <xf numFmtId="0" fontId="27" fillId="0" borderId="0" xfId="0" applyFont="1" applyFill="1" applyBorder="1" applyAlignment="1"/>
    <xf numFmtId="0" fontId="27" fillId="34" borderId="3" xfId="0" applyFont="1" applyFill="1" applyBorder="1" applyAlignment="1"/>
    <xf numFmtId="0" fontId="0" fillId="0" borderId="0" xfId="0" applyFill="1"/>
    <xf numFmtId="168" fontId="4" fillId="34" borderId="3" xfId="45" applyNumberFormat="1" applyFont="1" applyFill="1" applyBorder="1" applyAlignment="1">
      <alignment horizontal="center" wrapText="1"/>
    </xf>
    <xf numFmtId="3" fontId="4" fillId="35" borderId="3" xfId="45" applyNumberFormat="1" applyFont="1" applyFill="1" applyBorder="1" applyAlignment="1">
      <alignment horizontal="center" wrapText="1"/>
    </xf>
    <xf numFmtId="0" fontId="27" fillId="34" borderId="6" xfId="0" applyFont="1" applyFill="1" applyBorder="1" applyAlignment="1"/>
    <xf numFmtId="3" fontId="4" fillId="35" borderId="6" xfId="45" applyNumberFormat="1" applyFont="1" applyFill="1" applyBorder="1" applyAlignment="1">
      <alignment horizontal="center" wrapText="1"/>
    </xf>
    <xf numFmtId="1" fontId="4" fillId="34" borderId="3" xfId="45" applyNumberFormat="1" applyFont="1" applyFill="1" applyBorder="1" applyAlignment="1">
      <alignment horizontal="center" wrapText="1"/>
    </xf>
    <xf numFmtId="3" fontId="28" fillId="34" borderId="3" xfId="0" applyNumberFormat="1" applyFont="1" applyFill="1" applyBorder="1" applyAlignment="1">
      <alignment horizontal="center" wrapText="1"/>
    </xf>
    <xf numFmtId="0" fontId="28" fillId="34" borderId="7" xfId="0" applyFont="1" applyFill="1" applyBorder="1" applyAlignment="1"/>
    <xf numFmtId="0" fontId="28" fillId="34" borderId="2" xfId="0" applyFont="1" applyFill="1" applyBorder="1" applyAlignment="1"/>
    <xf numFmtId="0" fontId="28" fillId="34" borderId="8" xfId="0" applyFont="1" applyFill="1" applyBorder="1" applyAlignment="1"/>
    <xf numFmtId="0" fontId="5" fillId="33" borderId="7" xfId="0" applyFont="1" applyFill="1" applyBorder="1"/>
    <xf numFmtId="0" fontId="0" fillId="33" borderId="2" xfId="0" applyFill="1" applyBorder="1"/>
    <xf numFmtId="3" fontId="0" fillId="33" borderId="2" xfId="0" applyNumberFormat="1" applyFill="1" applyBorder="1"/>
    <xf numFmtId="0" fontId="0" fillId="33" borderId="8" xfId="0" applyFill="1" applyBorder="1"/>
    <xf numFmtId="0" fontId="5" fillId="33" borderId="3" xfId="0" applyFont="1" applyFill="1" applyBorder="1"/>
    <xf numFmtId="3" fontId="5" fillId="33" borderId="3" xfId="0" applyNumberFormat="1" applyFont="1" applyFill="1" applyBorder="1" applyAlignment="1">
      <alignment wrapText="1"/>
    </xf>
    <xf numFmtId="0" fontId="5" fillId="33" borderId="3" xfId="0" applyFont="1" applyFill="1" applyBorder="1" applyAlignment="1">
      <alignment wrapText="1"/>
    </xf>
    <xf numFmtId="0" fontId="5" fillId="0" borderId="0" xfId="0" applyFont="1"/>
    <xf numFmtId="0" fontId="7" fillId="0" borderId="3" xfId="0" applyFont="1" applyBorder="1" applyAlignment="1">
      <alignment vertical="center"/>
    </xf>
    <xf numFmtId="0" fontId="5" fillId="0" borderId="3" xfId="0" applyFont="1" applyBorder="1"/>
    <xf numFmtId="3" fontId="5" fillId="0" borderId="3" xfId="0" applyNumberFormat="1" applyFont="1" applyBorder="1"/>
    <xf numFmtId="0" fontId="2" fillId="0" borderId="3" xfId="0" applyFont="1" applyBorder="1" applyAlignment="1">
      <alignment vertical="center"/>
    </xf>
    <xf numFmtId="0" fontId="0" fillId="0" borderId="3" xfId="0" applyBorder="1"/>
    <xf numFmtId="3" fontId="0" fillId="0" borderId="3" xfId="0" applyNumberFormat="1" applyBorder="1"/>
    <xf numFmtId="0" fontId="2" fillId="36" borderId="7" xfId="0" applyFont="1" applyFill="1" applyBorder="1" applyAlignment="1">
      <alignment vertical="center"/>
    </xf>
    <xf numFmtId="0" fontId="2" fillId="36" borderId="2" xfId="0" applyFont="1" applyFill="1" applyBorder="1" applyAlignment="1">
      <alignment vertical="center"/>
    </xf>
    <xf numFmtId="0" fontId="0" fillId="36" borderId="2" xfId="0" applyFill="1" applyBorder="1"/>
    <xf numFmtId="3" fontId="0" fillId="36" borderId="2" xfId="0" applyNumberFormat="1" applyFill="1" applyBorder="1"/>
    <xf numFmtId="0" fontId="0" fillId="36" borderId="8" xfId="0" applyFill="1" applyBorder="1"/>
    <xf numFmtId="3" fontId="1" fillId="0" borderId="3" xfId="0" applyNumberFormat="1" applyFont="1" applyBorder="1"/>
    <xf numFmtId="10" fontId="0" fillId="0" borderId="1" xfId="0" applyNumberFormat="1" applyBorder="1"/>
    <xf numFmtId="164" fontId="0" fillId="36" borderId="0" xfId="0" applyNumberFormat="1" applyFill="1" applyAlignment="1">
      <alignment wrapText="1"/>
    </xf>
    <xf numFmtId="0" fontId="30" fillId="0" borderId="0" xfId="41" applyFont="1" applyBorder="1"/>
    <xf numFmtId="0" fontId="22" fillId="0" borderId="0" xfId="41" applyBorder="1"/>
    <xf numFmtId="3" fontId="22" fillId="0" borderId="0" xfId="41" applyNumberFormat="1" applyBorder="1"/>
    <xf numFmtId="0" fontId="0" fillId="0" borderId="0" xfId="0" applyBorder="1"/>
    <xf numFmtId="1" fontId="0" fillId="0" borderId="0" xfId="0" applyNumberFormat="1"/>
    <xf numFmtId="1" fontId="0" fillId="0" borderId="1" xfId="0" applyNumberFormat="1" applyBorder="1"/>
    <xf numFmtId="1" fontId="0" fillId="36" borderId="0" xfId="0" applyNumberFormat="1" applyFill="1"/>
    <xf numFmtId="0" fontId="5" fillId="34" borderId="7" xfId="0" applyFont="1" applyFill="1" applyBorder="1"/>
    <xf numFmtId="0" fontId="0" fillId="34" borderId="2" xfId="0" applyFill="1" applyBorder="1"/>
    <xf numFmtId="0" fontId="0" fillId="34" borderId="8" xfId="0" applyFill="1" applyBorder="1"/>
    <xf numFmtId="0" fontId="0" fillId="34" borderId="3" xfId="0" applyFill="1" applyBorder="1"/>
    <xf numFmtId="0" fontId="5" fillId="34" borderId="3" xfId="0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Border="1" applyAlignment="1">
      <alignment vertical="center"/>
    </xf>
    <xf numFmtId="164" fontId="0" fillId="0" borderId="0" xfId="0" applyNumberFormat="1" applyBorder="1"/>
    <xf numFmtId="167" fontId="0" fillId="0" borderId="0" xfId="0" applyNumberFormat="1" applyBorder="1"/>
    <xf numFmtId="165" fontId="0" fillId="0" borderId="0" xfId="0" applyNumberFormat="1" applyBorder="1"/>
    <xf numFmtId="164" fontId="0" fillId="36" borderId="4" xfId="0" applyNumberFormat="1" applyFill="1" applyBorder="1"/>
    <xf numFmtId="0" fontId="4" fillId="0" borderId="9" xfId="45" applyNumberFormat="1" applyFont="1" applyFill="1" applyBorder="1" applyAlignment="1"/>
    <xf numFmtId="0" fontId="2" fillId="36" borderId="4" xfId="0" applyFont="1" applyFill="1" applyBorder="1" applyAlignment="1">
      <alignment vertical="center"/>
    </xf>
    <xf numFmtId="164" fontId="5" fillId="0" borderId="9" xfId="0" applyNumberFormat="1" applyFont="1" applyBorder="1"/>
    <xf numFmtId="167" fontId="5" fillId="0" borderId="10" xfId="0" applyNumberFormat="1" applyFont="1" applyBorder="1"/>
    <xf numFmtId="164" fontId="5" fillId="0" borderId="10" xfId="0" applyNumberFormat="1" applyFont="1" applyBorder="1"/>
    <xf numFmtId="165" fontId="5" fillId="0" borderId="10" xfId="0" applyNumberFormat="1" applyFont="1" applyBorder="1"/>
    <xf numFmtId="165" fontId="5" fillId="0" borderId="9" xfId="0" applyNumberFormat="1" applyFont="1" applyBorder="1"/>
    <xf numFmtId="6" fontId="0" fillId="38" borderId="0" xfId="0" applyNumberFormat="1" applyFill="1"/>
    <xf numFmtId="0" fontId="7" fillId="0" borderId="1" xfId="0" applyFont="1" applyBorder="1" applyAlignment="1">
      <alignment vertical="center"/>
    </xf>
    <xf numFmtId="164" fontId="0" fillId="38" borderId="0" xfId="0" applyNumberFormat="1" applyFill="1" applyBorder="1"/>
    <xf numFmtId="167" fontId="0" fillId="38" borderId="0" xfId="0" applyNumberFormat="1" applyFill="1" applyBorder="1"/>
    <xf numFmtId="165" fontId="0" fillId="38" borderId="0" xfId="0" applyNumberFormat="1" applyFill="1" applyBorder="1"/>
    <xf numFmtId="0" fontId="0" fillId="38" borderId="0" xfId="0" applyFill="1"/>
    <xf numFmtId="165" fontId="0" fillId="38" borderId="0" xfId="0" applyNumberFormat="1" applyFill="1"/>
    <xf numFmtId="2" fontId="0" fillId="38" borderId="0" xfId="0" applyNumberFormat="1" applyFill="1"/>
    <xf numFmtId="3" fontId="5" fillId="0" borderId="1" xfId="0" applyNumberFormat="1" applyFont="1" applyBorder="1"/>
    <xf numFmtId="166" fontId="5" fillId="0" borderId="1" xfId="0" applyNumberFormat="1" applyFont="1" applyBorder="1"/>
    <xf numFmtId="1" fontId="5" fillId="0" borderId="1" xfId="0" applyNumberFormat="1" applyFont="1" applyBorder="1"/>
    <xf numFmtId="0" fontId="0" fillId="37" borderId="0" xfId="0" applyFill="1"/>
    <xf numFmtId="166" fontId="0" fillId="37" borderId="0" xfId="0" applyNumberFormat="1" applyFill="1"/>
    <xf numFmtId="165" fontId="5" fillId="0" borderId="1" xfId="0" applyNumberFormat="1" applyFont="1" applyBorder="1"/>
    <xf numFmtId="2" fontId="5" fillId="0" borderId="1" xfId="0" applyNumberFormat="1" applyFont="1" applyBorder="1"/>
    <xf numFmtId="3" fontId="1" fillId="38" borderId="0" xfId="0" applyNumberFormat="1" applyFont="1" applyFill="1" applyBorder="1"/>
    <xf numFmtId="38" fontId="5" fillId="33" borderId="2" xfId="0" applyNumberFormat="1" applyFont="1" applyFill="1" applyBorder="1"/>
    <xf numFmtId="10" fontId="1" fillId="36" borderId="0" xfId="0" applyNumberFormat="1" applyFont="1" applyFill="1"/>
    <xf numFmtId="0" fontId="2" fillId="38" borderId="0" xfId="0" applyFont="1" applyFill="1" applyAlignment="1">
      <alignment vertical="center"/>
    </xf>
    <xf numFmtId="3" fontId="0" fillId="38" borderId="0" xfId="0" applyNumberFormat="1" applyFill="1"/>
    <xf numFmtId="0" fontId="1" fillId="0" borderId="3" xfId="44" applyBorder="1"/>
    <xf numFmtId="3" fontId="1" fillId="0" borderId="3" xfId="44" applyNumberFormat="1" applyBorder="1"/>
    <xf numFmtId="44" fontId="1" fillId="0" borderId="3" xfId="30" applyFont="1" applyBorder="1"/>
    <xf numFmtId="172" fontId="1" fillId="0" borderId="3" xfId="30" applyNumberFormat="1" applyFont="1" applyBorder="1"/>
    <xf numFmtId="3" fontId="1" fillId="37" borderId="3" xfId="44" applyNumberFormat="1" applyFont="1" applyFill="1" applyBorder="1"/>
    <xf numFmtId="3" fontId="0" fillId="0" borderId="0" xfId="0" applyNumberFormat="1" applyFill="1"/>
    <xf numFmtId="0" fontId="2" fillId="0" borderId="0" xfId="0" applyFont="1" applyFill="1" applyAlignment="1">
      <alignment vertical="center"/>
    </xf>
    <xf numFmtId="2" fontId="0" fillId="0" borderId="0" xfId="0" applyNumberFormat="1" applyFill="1"/>
    <xf numFmtId="165" fontId="0" fillId="0" borderId="0" xfId="0" applyNumberFormat="1" applyFill="1"/>
    <xf numFmtId="6" fontId="27" fillId="0" borderId="0" xfId="43" applyNumberFormat="1" applyFont="1" applyAlignment="1"/>
    <xf numFmtId="167" fontId="0" fillId="38" borderId="0" xfId="0" applyNumberFormat="1" applyFill="1"/>
    <xf numFmtId="164" fontId="0" fillId="38" borderId="0" xfId="0" applyNumberFormat="1" applyFill="1"/>
    <xf numFmtId="164" fontId="0" fillId="0" borderId="0" xfId="0" applyNumberFormat="1" applyFill="1"/>
    <xf numFmtId="167" fontId="0" fillId="0" borderId="0" xfId="0" applyNumberFormat="1" applyFill="1"/>
    <xf numFmtId="0" fontId="31" fillId="38" borderId="0" xfId="45" applyNumberFormat="1" applyFont="1" applyFill="1" applyBorder="1" applyAlignment="1"/>
    <xf numFmtId="167" fontId="0" fillId="0" borderId="0" xfId="0" applyNumberFormat="1" applyFill="1" applyBorder="1"/>
    <xf numFmtId="165" fontId="0" fillId="0" borderId="0" xfId="0" applyNumberFormat="1" applyFill="1" applyBorder="1"/>
    <xf numFmtId="6" fontId="0" fillId="0" borderId="0" xfId="0" applyNumberFormat="1" applyFill="1"/>
    <xf numFmtId="6" fontId="0" fillId="38" borderId="0" xfId="0" applyNumberFormat="1" applyFill="1" applyBorder="1"/>
    <xf numFmtId="6" fontId="0" fillId="0" borderId="0" xfId="0" applyNumberFormat="1" applyFill="1" applyBorder="1"/>
    <xf numFmtId="164" fontId="0" fillId="0" borderId="0" xfId="0" applyNumberFormat="1" applyFill="1" applyBorder="1"/>
    <xf numFmtId="164" fontId="1" fillId="38" borderId="0" xfId="0" applyNumberFormat="1" applyFont="1" applyFill="1" applyBorder="1"/>
    <xf numFmtId="166" fontId="0" fillId="0" borderId="0" xfId="0" applyNumberFormat="1" applyFill="1"/>
    <xf numFmtId="0" fontId="32" fillId="0" borderId="0" xfId="0" applyFont="1"/>
    <xf numFmtId="165" fontId="1" fillId="36" borderId="0" xfId="0" applyNumberFormat="1" applyFont="1" applyFill="1"/>
    <xf numFmtId="166" fontId="1" fillId="36" borderId="0" xfId="0" applyNumberFormat="1" applyFont="1" applyFill="1"/>
    <xf numFmtId="2" fontId="1" fillId="36" borderId="0" xfId="0" applyNumberFormat="1" applyFont="1" applyFill="1"/>
    <xf numFmtId="3" fontId="6" fillId="0" borderId="0" xfId="0" applyNumberFormat="1" applyFont="1" applyFill="1"/>
    <xf numFmtId="165" fontId="0" fillId="38" borderId="4" xfId="0" applyNumberFormat="1" applyFill="1" applyBorder="1"/>
    <xf numFmtId="10" fontId="1" fillId="0" borderId="0" xfId="0" applyNumberFormat="1" applyFont="1"/>
    <xf numFmtId="0" fontId="1" fillId="0" borderId="0" xfId="0" applyFont="1" applyFill="1"/>
    <xf numFmtId="1" fontId="5" fillId="33" borderId="2" xfId="0" applyNumberFormat="1" applyFont="1" applyFill="1" applyBorder="1"/>
    <xf numFmtId="165" fontId="0" fillId="37" borderId="0" xfId="0" applyNumberFormat="1" applyFill="1"/>
    <xf numFmtId="166" fontId="0" fillId="38" borderId="0" xfId="0" applyNumberFormat="1" applyFill="1"/>
    <xf numFmtId="3" fontId="0" fillId="0" borderId="3" xfId="0" applyNumberForma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2" fillId="37" borderId="21" xfId="0" applyFont="1" applyFill="1" applyBorder="1" applyAlignment="1">
      <alignment vertical="center"/>
    </xf>
    <xf numFmtId="3" fontId="0" fillId="37" borderId="21" xfId="0" applyNumberFormat="1" applyFill="1" applyBorder="1"/>
    <xf numFmtId="38" fontId="0" fillId="37" borderId="21" xfId="0" applyNumberFormat="1" applyFill="1" applyBorder="1"/>
    <xf numFmtId="10" fontId="1" fillId="37" borderId="21" xfId="0" applyNumberFormat="1" applyFont="1" applyFill="1" applyBorder="1"/>
    <xf numFmtId="0" fontId="0" fillId="37" borderId="21" xfId="0" applyFill="1" applyBorder="1"/>
    <xf numFmtId="0" fontId="1" fillId="37" borderId="21" xfId="0" applyFont="1" applyFill="1" applyBorder="1"/>
    <xf numFmtId="0" fontId="0" fillId="0" borderId="21" xfId="0" applyBorder="1"/>
    <xf numFmtId="0" fontId="2" fillId="38" borderId="21" xfId="0" applyFont="1" applyFill="1" applyBorder="1" applyAlignment="1">
      <alignment vertical="center"/>
    </xf>
    <xf numFmtId="3" fontId="0" fillId="38" borderId="21" xfId="0" applyNumberFormat="1" applyFill="1" applyBorder="1"/>
    <xf numFmtId="38" fontId="0" fillId="38" borderId="21" xfId="0" applyNumberFormat="1" applyFill="1" applyBorder="1"/>
    <xf numFmtId="10" fontId="1" fillId="38" borderId="21" xfId="0" applyNumberFormat="1" applyFont="1" applyFill="1" applyBorder="1"/>
    <xf numFmtId="0" fontId="0" fillId="38" borderId="21" xfId="0" applyFill="1" applyBorder="1"/>
    <xf numFmtId="0" fontId="1" fillId="38" borderId="21" xfId="0" applyFont="1" applyFill="1" applyBorder="1"/>
    <xf numFmtId="10" fontId="29" fillId="38" borderId="21" xfId="0" applyNumberFormat="1" applyFont="1" applyFill="1" applyBorder="1"/>
    <xf numFmtId="10" fontId="29" fillId="37" borderId="21" xfId="0" applyNumberFormat="1" applyFont="1" applyFill="1" applyBorder="1"/>
    <xf numFmtId="0" fontId="2" fillId="37" borderId="22" xfId="0" applyFont="1" applyFill="1" applyBorder="1" applyAlignment="1">
      <alignment vertical="center"/>
    </xf>
    <xf numFmtId="3" fontId="0" fillId="37" borderId="22" xfId="0" applyNumberFormat="1" applyFill="1" applyBorder="1"/>
    <xf numFmtId="38" fontId="0" fillId="37" borderId="22" xfId="0" applyNumberFormat="1" applyFill="1" applyBorder="1"/>
    <xf numFmtId="10" fontId="29" fillId="37" borderId="22" xfId="0" applyNumberFormat="1" applyFont="1" applyFill="1" applyBorder="1"/>
    <xf numFmtId="0" fontId="0" fillId="37" borderId="22" xfId="0" applyFill="1" applyBorder="1"/>
    <xf numFmtId="0" fontId="1" fillId="37" borderId="22" xfId="0" applyFont="1" applyFill="1" applyBorder="1"/>
    <xf numFmtId="0" fontId="0" fillId="0" borderId="23" xfId="0" applyBorder="1"/>
    <xf numFmtId="166" fontId="1" fillId="0" borderId="0" xfId="0" applyNumberFormat="1" applyFont="1"/>
    <xf numFmtId="3" fontId="1" fillId="0" borderId="0" xfId="0" applyNumberFormat="1" applyFont="1" applyFill="1"/>
    <xf numFmtId="0" fontId="2" fillId="37" borderId="0" xfId="0" applyFont="1" applyFill="1" applyAlignment="1">
      <alignment vertical="center"/>
    </xf>
    <xf numFmtId="165" fontId="0" fillId="0" borderId="0" xfId="69" applyNumberFormat="1" applyFont="1" applyFill="1"/>
    <xf numFmtId="3" fontId="0" fillId="38" borderId="4" xfId="0" applyNumberFormat="1" applyFill="1" applyBorder="1"/>
    <xf numFmtId="3" fontId="0" fillId="0" borderId="4" xfId="0" applyNumberFormat="1" applyBorder="1"/>
    <xf numFmtId="164" fontId="0" fillId="0" borderId="4" xfId="0" applyNumberFormat="1" applyBorder="1"/>
    <xf numFmtId="167" fontId="0" fillId="0" borderId="4" xfId="0" applyNumberFormat="1" applyBorder="1"/>
    <xf numFmtId="10" fontId="0" fillId="0" borderId="0" xfId="69" applyNumberFormat="1" applyFont="1"/>
    <xf numFmtId="10" fontId="5" fillId="33" borderId="2" xfId="0" applyNumberFormat="1" applyFont="1" applyFill="1" applyBorder="1"/>
    <xf numFmtId="2" fontId="1" fillId="0" borderId="3" xfId="44" applyNumberFormat="1" applyBorder="1"/>
    <xf numFmtId="0" fontId="0" fillId="0" borderId="0" xfId="0" applyFont="1" applyFill="1" applyBorder="1"/>
    <xf numFmtId="0" fontId="0" fillId="0" borderId="0" xfId="0" applyFill="1" applyBorder="1"/>
    <xf numFmtId="1" fontId="0" fillId="0" borderId="0" xfId="0" applyNumberFormat="1" applyFill="1"/>
    <xf numFmtId="173" fontId="0" fillId="0" borderId="0" xfId="28" applyNumberFormat="1" applyFont="1"/>
    <xf numFmtId="173" fontId="0" fillId="36" borderId="0" xfId="28" applyNumberFormat="1" applyFont="1" applyFill="1"/>
    <xf numFmtId="173" fontId="0" fillId="0" borderId="1" xfId="28" applyNumberFormat="1" applyFont="1" applyBorder="1"/>
    <xf numFmtId="173" fontId="0" fillId="0" borderId="0" xfId="28" applyNumberFormat="1" applyFont="1" applyFill="1"/>
    <xf numFmtId="173" fontId="5" fillId="0" borderId="1" xfId="28" applyNumberFormat="1" applyFont="1" applyBorder="1"/>
    <xf numFmtId="173" fontId="8" fillId="36" borderId="0" xfId="28" applyNumberFormat="1" applyFont="1" applyFill="1"/>
    <xf numFmtId="173" fontId="0" fillId="0" borderId="0" xfId="0" applyNumberFormat="1" applyFill="1"/>
    <xf numFmtId="3" fontId="6" fillId="36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" fillId="0" borderId="3" xfId="0" applyFont="1" applyBorder="1"/>
    <xf numFmtId="3" fontId="0" fillId="36" borderId="0" xfId="0" applyNumberFormat="1" applyFill="1" applyAlignment="1">
      <alignment horizontal="center"/>
    </xf>
    <xf numFmtId="166" fontId="0" fillId="36" borderId="0" xfId="0" applyNumberFormat="1" applyFill="1" applyAlignment="1">
      <alignment horizontal="center"/>
    </xf>
    <xf numFmtId="2" fontId="0" fillId="36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38" borderId="0" xfId="0" applyNumberFormat="1" applyFill="1" applyAlignment="1">
      <alignment horizontal="center"/>
    </xf>
    <xf numFmtId="164" fontId="1" fillId="36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74" fontId="0" fillId="36" borderId="0" xfId="28" applyNumberFormat="1" applyFont="1" applyFill="1"/>
    <xf numFmtId="166" fontId="1" fillId="0" borderId="0" xfId="0" applyNumberFormat="1" applyFont="1" applyAlignment="1">
      <alignment horizontal="right"/>
    </xf>
    <xf numFmtId="0" fontId="28" fillId="34" borderId="7" xfId="0" applyFont="1" applyFill="1" applyBorder="1" applyAlignment="1"/>
    <xf numFmtId="0" fontId="0" fillId="0" borderId="2" xfId="0" applyBorder="1" applyAlignment="1"/>
    <xf numFmtId="0" fontId="0" fillId="0" borderId="8" xfId="0" applyBorder="1" applyAlignment="1"/>
    <xf numFmtId="0" fontId="27" fillId="0" borderId="2" xfId="0" applyFont="1" applyBorder="1" applyAlignment="1"/>
    <xf numFmtId="0" fontId="28" fillId="34" borderId="3" xfId="0" applyFont="1" applyFill="1" applyBorder="1" applyAlignment="1"/>
    <xf numFmtId="0" fontId="27" fillId="0" borderId="3" xfId="0" applyFont="1" applyBorder="1" applyAlignment="1"/>
    <xf numFmtId="0" fontId="28" fillId="34" borderId="2" xfId="0" applyFont="1" applyFill="1" applyBorder="1" applyAlignment="1"/>
    <xf numFmtId="0" fontId="28" fillId="34" borderId="8" xfId="0" applyFont="1" applyFill="1" applyBorder="1" applyAlignment="1"/>
    <xf numFmtId="0" fontId="28" fillId="34" borderId="7" xfId="0" applyFont="1" applyFill="1" applyBorder="1" applyAlignment="1">
      <alignment horizontal="center"/>
    </xf>
    <xf numFmtId="0" fontId="28" fillId="34" borderId="2" xfId="0" applyFont="1" applyFill="1" applyBorder="1" applyAlignment="1">
      <alignment horizontal="center"/>
    </xf>
    <xf numFmtId="0" fontId="28" fillId="34" borderId="8" xfId="0" applyFont="1" applyFill="1" applyBorder="1" applyAlignment="1">
      <alignment horizontal="center"/>
    </xf>
    <xf numFmtId="0" fontId="27" fillId="0" borderId="8" xfId="0" applyFont="1" applyBorder="1" applyAlignment="1"/>
    <xf numFmtId="0" fontId="28" fillId="34" borderId="11" xfId="0" applyFont="1" applyFill="1" applyBorder="1" applyAlignment="1"/>
    <xf numFmtId="0" fontId="27" fillId="34" borderId="0" xfId="0" applyFont="1" applyFill="1" applyBorder="1" applyAlignment="1"/>
    <xf numFmtId="0" fontId="0" fillId="0" borderId="0" xfId="0" applyAlignment="1"/>
    <xf numFmtId="0" fontId="27" fillId="34" borderId="3" xfId="0" applyFont="1" applyFill="1" applyBorder="1" applyAlignment="1"/>
    <xf numFmtId="0" fontId="27" fillId="34" borderId="2" xfId="0" applyFont="1" applyFill="1" applyBorder="1" applyAlignment="1"/>
    <xf numFmtId="0" fontId="4" fillId="34" borderId="5" xfId="45" applyNumberFormat="1" applyFont="1" applyFill="1" applyBorder="1" applyAlignment="1">
      <alignment horizontal="center" wrapText="1"/>
    </xf>
    <xf numFmtId="0" fontId="4" fillId="34" borderId="6" xfId="45" applyNumberFormat="1" applyFont="1" applyFill="1" applyBorder="1" applyAlignment="1">
      <alignment horizontal="center" wrapText="1"/>
    </xf>
    <xf numFmtId="3" fontId="4" fillId="35" borderId="5" xfId="45" applyNumberFormat="1" applyFont="1" applyFill="1" applyBorder="1" applyAlignment="1">
      <alignment horizontal="center" wrapText="1"/>
    </xf>
    <xf numFmtId="0" fontId="0" fillId="0" borderId="6" xfId="0" applyBorder="1" applyAlignment="1"/>
    <xf numFmtId="166" fontId="4" fillId="34" borderId="5" xfId="45" applyNumberFormat="1" applyFont="1" applyFill="1" applyBorder="1" applyAlignment="1">
      <alignment horizontal="center" wrapText="1"/>
    </xf>
    <xf numFmtId="3" fontId="4" fillId="34" borderId="5" xfId="45" applyNumberFormat="1" applyFont="1" applyFill="1" applyBorder="1" applyAlignment="1">
      <alignment horizontal="center" wrapText="1"/>
    </xf>
    <xf numFmtId="2" fontId="4" fillId="34" borderId="5" xfId="45" applyNumberFormat="1" applyFont="1" applyFill="1" applyBorder="1" applyAlignment="1">
      <alignment horizontal="center" wrapText="1"/>
    </xf>
    <xf numFmtId="3" fontId="28" fillId="34" borderId="3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 2" xfId="30" xr:uid="{00000000-0005-0000-0000-00001E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9000000}"/>
    <cellStyle name="Normal 3" xfId="41" xr:uid="{00000000-0005-0000-0000-00002A000000}"/>
    <cellStyle name="Normal 4" xfId="42" xr:uid="{00000000-0005-0000-0000-00002B000000}"/>
    <cellStyle name="Normal 5" xfId="43" xr:uid="{00000000-0005-0000-0000-00002C000000}"/>
    <cellStyle name="Normal 6" xfId="44" xr:uid="{00000000-0005-0000-0000-00002D000000}"/>
    <cellStyle name="Normal_Sheet2" xfId="45" xr:uid="{00000000-0005-0000-0000-00002E000000}"/>
    <cellStyle name="Note 2" xfId="46" xr:uid="{00000000-0005-0000-0000-00002F000000}"/>
    <cellStyle name="Output" xfId="47" builtinId="21" customBuiltin="1"/>
    <cellStyle name="Percent" xfId="69" builtinId="5"/>
    <cellStyle name="sCurrency" xfId="48" xr:uid="{00000000-0005-0000-0000-000031000000}"/>
    <cellStyle name="sDate" xfId="49" xr:uid="{00000000-0005-0000-0000-000032000000}"/>
    <cellStyle name="sDecimal" xfId="50" xr:uid="{00000000-0005-0000-0000-000033000000}"/>
    <cellStyle name="sInteger" xfId="51" xr:uid="{00000000-0005-0000-0000-000034000000}"/>
    <cellStyle name="sLongDate" xfId="52" xr:uid="{00000000-0005-0000-0000-000035000000}"/>
    <cellStyle name="sLongTime" xfId="53" xr:uid="{00000000-0005-0000-0000-000036000000}"/>
    <cellStyle name="sMediumDate" xfId="54" xr:uid="{00000000-0005-0000-0000-000037000000}"/>
    <cellStyle name="sMediumTime" xfId="55" xr:uid="{00000000-0005-0000-0000-000038000000}"/>
    <cellStyle name="sNumber" xfId="56" xr:uid="{00000000-0005-0000-0000-000039000000}"/>
    <cellStyle name="sPercent" xfId="57" xr:uid="{00000000-0005-0000-0000-00003A000000}"/>
    <cellStyle name="sPhone" xfId="58" xr:uid="{00000000-0005-0000-0000-00003B000000}"/>
    <cellStyle name="sPhoneExt" xfId="59" xr:uid="{00000000-0005-0000-0000-00003C000000}"/>
    <cellStyle name="sRichText" xfId="60" xr:uid="{00000000-0005-0000-0000-00003D000000}"/>
    <cellStyle name="sShortDate" xfId="61" xr:uid="{00000000-0005-0000-0000-00003E000000}"/>
    <cellStyle name="sShortTime" xfId="62" xr:uid="{00000000-0005-0000-0000-00003F000000}"/>
    <cellStyle name="sStandard" xfId="63" xr:uid="{00000000-0005-0000-0000-000040000000}"/>
    <cellStyle name="sText" xfId="64" xr:uid="{00000000-0005-0000-0000-000041000000}"/>
    <cellStyle name="sZip" xfId="65" xr:uid="{00000000-0005-0000-0000-000042000000}"/>
    <cellStyle name="Title" xfId="66" builtinId="15" customBuiltin="1"/>
    <cellStyle name="Total" xfId="67" builtinId="25" customBuiltin="1"/>
    <cellStyle name="Warning Text" xfId="68" builtinId="11" customBuiltin="1"/>
  </cellStyles>
  <dxfs count="2">
    <dxf>
      <font>
        <strike val="0"/>
        <color rgb="FFFF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J38"/>
  <sheetViews>
    <sheetView topLeftCell="A17" zoomScale="90" zoomScaleNormal="90" workbookViewId="0">
      <selection activeCell="M5" sqref="M5"/>
    </sheetView>
  </sheetViews>
  <sheetFormatPr defaultColWidth="9.140625" defaultRowHeight="12.75" x14ac:dyDescent="0.2"/>
  <cols>
    <col min="1" max="1" width="35.28515625" customWidth="1"/>
    <col min="2" max="2" width="12" customWidth="1"/>
    <col min="3" max="3" width="11.5703125" customWidth="1"/>
    <col min="4" max="4" width="6.7109375" customWidth="1"/>
    <col min="5" max="5" width="8.28515625" bestFit="1" customWidth="1"/>
    <col min="6" max="6" width="36.140625" bestFit="1" customWidth="1"/>
    <col min="7" max="7" width="23.85546875" bestFit="1" customWidth="1"/>
    <col min="8" max="8" width="15.42578125" bestFit="1" customWidth="1"/>
    <col min="9" max="9" width="11" bestFit="1" customWidth="1"/>
    <col min="10" max="10" width="7.140625" customWidth="1"/>
    <col min="11" max="11" width="13.5703125" customWidth="1"/>
    <col min="12" max="12" width="11" customWidth="1"/>
  </cols>
  <sheetData>
    <row r="1" spans="1:62" s="26" customFormat="1" x14ac:dyDescent="0.2">
      <c r="A1" s="265" t="s">
        <v>516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7"/>
      <c r="O1" s="23"/>
      <c r="P1" s="23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5"/>
      <c r="AL1" s="25"/>
      <c r="AM1" s="25"/>
      <c r="AN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</row>
    <row r="2" spans="1:62" s="26" customFormat="1" ht="25.5" x14ac:dyDescent="0.2">
      <c r="A2" s="27"/>
      <c r="B2" s="28" t="s">
        <v>499</v>
      </c>
      <c r="C2" s="28" t="s">
        <v>530</v>
      </c>
      <c r="D2" s="29" t="s">
        <v>74</v>
      </c>
      <c r="E2" s="30" t="s">
        <v>75</v>
      </c>
      <c r="F2" s="30" t="s">
        <v>64</v>
      </c>
      <c r="G2" s="30" t="s">
        <v>76</v>
      </c>
      <c r="H2" s="31" t="s">
        <v>77</v>
      </c>
      <c r="I2" s="32" t="s">
        <v>78</v>
      </c>
      <c r="J2" s="32" t="s">
        <v>79</v>
      </c>
      <c r="K2" s="31" t="s">
        <v>80</v>
      </c>
      <c r="L2" s="33" t="s">
        <v>81</v>
      </c>
      <c r="M2" s="34" t="s">
        <v>82</v>
      </c>
      <c r="N2" s="31" t="s">
        <v>83</v>
      </c>
      <c r="O2" s="23"/>
      <c r="P2" s="23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5"/>
      <c r="AL2" s="25"/>
      <c r="AM2" s="25"/>
      <c r="AN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</row>
    <row r="3" spans="1:62" x14ac:dyDescent="0.2">
      <c r="B3" s="13"/>
      <c r="C3" s="13"/>
      <c r="D3" s="13"/>
      <c r="E3" s="13"/>
      <c r="F3" s="2"/>
    </row>
    <row r="4" spans="1:62" x14ac:dyDescent="0.2">
      <c r="A4" s="5" t="s">
        <v>70</v>
      </c>
      <c r="B4" s="14"/>
      <c r="C4" s="14"/>
      <c r="D4" s="14"/>
      <c r="E4" s="14"/>
      <c r="F4" s="11"/>
      <c r="G4" s="7"/>
      <c r="H4" s="7"/>
      <c r="I4" s="7"/>
      <c r="J4" s="7"/>
      <c r="K4" s="7"/>
      <c r="L4" s="7"/>
      <c r="M4" s="7"/>
      <c r="N4" s="7"/>
    </row>
    <row r="5" spans="1:62" ht="15" x14ac:dyDescent="0.2">
      <c r="A5" s="1" t="s">
        <v>10</v>
      </c>
      <c r="B5" s="4">
        <v>100690</v>
      </c>
      <c r="C5" s="4">
        <v>100723</v>
      </c>
      <c r="D5" s="35">
        <f>SUM(C5-B5)</f>
        <v>33</v>
      </c>
      <c r="E5" s="37">
        <f>SUM(D5/C5)</f>
        <v>3.2763122623432581E-4</v>
      </c>
      <c r="F5" t="s">
        <v>51</v>
      </c>
      <c r="G5" t="s">
        <v>84</v>
      </c>
      <c r="I5" t="s">
        <v>112</v>
      </c>
      <c r="J5">
        <v>82001</v>
      </c>
      <c r="K5" s="1" t="s">
        <v>45</v>
      </c>
      <c r="L5">
        <v>2</v>
      </c>
      <c r="M5">
        <v>1</v>
      </c>
      <c r="N5" s="2">
        <v>4</v>
      </c>
    </row>
    <row r="6" spans="1:62" ht="15" x14ac:dyDescent="0.2">
      <c r="A6" s="39" t="s">
        <v>12</v>
      </c>
      <c r="B6" s="41">
        <v>80229</v>
      </c>
      <c r="C6" s="41">
        <v>79601</v>
      </c>
      <c r="D6" s="46">
        <f>SUM(C6-B6)</f>
        <v>-628</v>
      </c>
      <c r="E6" s="167">
        <f>SUM(D6/C6)</f>
        <v>-7.889348123767289E-3</v>
      </c>
      <c r="F6" s="40" t="s">
        <v>53</v>
      </c>
      <c r="G6" s="40" t="s">
        <v>85</v>
      </c>
      <c r="H6" s="40"/>
      <c r="I6" s="40" t="s">
        <v>113</v>
      </c>
      <c r="J6" s="40">
        <v>82601</v>
      </c>
      <c r="K6" s="39" t="s">
        <v>44</v>
      </c>
      <c r="L6" s="40">
        <v>1</v>
      </c>
      <c r="M6" s="40">
        <v>1</v>
      </c>
      <c r="N6" s="47">
        <v>3</v>
      </c>
    </row>
    <row r="7" spans="1:62" ht="15" x14ac:dyDescent="0.2">
      <c r="A7" s="1"/>
      <c r="B7" s="4"/>
      <c r="C7" s="4"/>
      <c r="D7" s="35"/>
      <c r="E7" s="37"/>
      <c r="K7" s="1"/>
    </row>
    <row r="8" spans="1:62" ht="15" x14ac:dyDescent="0.2">
      <c r="A8" s="5" t="s">
        <v>67</v>
      </c>
      <c r="B8" s="10"/>
      <c r="C8" s="10"/>
      <c r="D8" s="36"/>
      <c r="E8" s="123"/>
      <c r="F8" s="7"/>
      <c r="G8" s="7"/>
      <c r="H8" s="7"/>
      <c r="I8" s="7"/>
      <c r="J8" s="7"/>
      <c r="K8" s="8"/>
      <c r="L8" s="7"/>
      <c r="M8" s="7"/>
      <c r="N8" s="7"/>
    </row>
    <row r="9" spans="1:62" ht="15" x14ac:dyDescent="0.2">
      <c r="A9" s="1" t="s">
        <v>2</v>
      </c>
      <c r="B9" s="4">
        <v>47116</v>
      </c>
      <c r="C9" s="4">
        <v>47058</v>
      </c>
      <c r="D9" s="35">
        <f t="shared" ref="D9:D14" si="0">SUM(C9-B9)</f>
        <v>-58</v>
      </c>
      <c r="E9" s="199">
        <f t="shared" ref="E9:E14" si="1">SUM(D9/C9)</f>
        <v>-1.2325215691274597E-3</v>
      </c>
      <c r="F9" t="s">
        <v>46</v>
      </c>
      <c r="G9" t="s">
        <v>86</v>
      </c>
      <c r="I9" t="s">
        <v>114</v>
      </c>
      <c r="J9">
        <v>82718</v>
      </c>
      <c r="K9" s="1" t="s">
        <v>43</v>
      </c>
      <c r="L9">
        <v>1</v>
      </c>
      <c r="M9">
        <v>0</v>
      </c>
      <c r="N9" s="2">
        <v>2</v>
      </c>
    </row>
    <row r="10" spans="1:62" ht="15" x14ac:dyDescent="0.2">
      <c r="A10" s="39" t="s">
        <v>18</v>
      </c>
      <c r="B10" s="41">
        <v>42158</v>
      </c>
      <c r="C10" s="41">
        <v>41345</v>
      </c>
      <c r="D10" s="46">
        <f t="shared" si="0"/>
        <v>-813</v>
      </c>
      <c r="E10" s="48">
        <f t="shared" si="1"/>
        <v>-1.9663804571290362E-2</v>
      </c>
      <c r="F10" s="40" t="s">
        <v>59</v>
      </c>
      <c r="G10" s="40" t="s">
        <v>87</v>
      </c>
      <c r="H10" s="40"/>
      <c r="I10" s="40" t="s">
        <v>115</v>
      </c>
      <c r="J10" s="40">
        <v>82935</v>
      </c>
      <c r="K10" s="39" t="s">
        <v>42</v>
      </c>
      <c r="L10" s="40">
        <v>9</v>
      </c>
      <c r="M10" s="40">
        <v>0</v>
      </c>
      <c r="N10" s="47">
        <v>10</v>
      </c>
    </row>
    <row r="11" spans="1:62" ht="15" x14ac:dyDescent="0.2">
      <c r="A11" s="1" t="s">
        <v>6</v>
      </c>
      <c r="B11" s="4">
        <v>39177</v>
      </c>
      <c r="C11" s="4">
        <v>39472</v>
      </c>
      <c r="D11" s="35">
        <f t="shared" si="0"/>
        <v>295</v>
      </c>
      <c r="E11" s="38">
        <f t="shared" si="1"/>
        <v>7.4736522091609246E-3</v>
      </c>
      <c r="F11" t="s">
        <v>48</v>
      </c>
      <c r="G11" t="s">
        <v>88</v>
      </c>
      <c r="I11" t="s">
        <v>116</v>
      </c>
      <c r="J11">
        <v>82520</v>
      </c>
      <c r="K11" s="1" t="s">
        <v>502</v>
      </c>
      <c r="L11">
        <v>2</v>
      </c>
      <c r="M11">
        <v>0</v>
      </c>
      <c r="N11" s="2">
        <v>3</v>
      </c>
    </row>
    <row r="12" spans="1:62" ht="15" x14ac:dyDescent="0.2">
      <c r="A12" s="39" t="s">
        <v>0</v>
      </c>
      <c r="B12" s="41">
        <v>37079</v>
      </c>
      <c r="C12" s="41">
        <v>38031</v>
      </c>
      <c r="D12" s="46">
        <f t="shared" si="0"/>
        <v>952</v>
      </c>
      <c r="E12" s="48">
        <f t="shared" si="1"/>
        <v>2.5032210565065341E-2</v>
      </c>
      <c r="F12" s="93" t="s">
        <v>503</v>
      </c>
      <c r="G12" s="40" t="s">
        <v>89</v>
      </c>
      <c r="H12" s="40"/>
      <c r="I12" s="40" t="s">
        <v>117</v>
      </c>
      <c r="J12" s="40">
        <v>82070</v>
      </c>
      <c r="K12" s="39" t="s">
        <v>40</v>
      </c>
      <c r="L12" s="40">
        <v>2</v>
      </c>
      <c r="M12" s="40">
        <v>1</v>
      </c>
      <c r="N12" s="47">
        <v>4</v>
      </c>
    </row>
    <row r="13" spans="1:62" ht="15" x14ac:dyDescent="0.2">
      <c r="A13" s="1" t="s">
        <v>16</v>
      </c>
      <c r="B13" s="4">
        <v>30996</v>
      </c>
      <c r="C13" s="4">
        <v>32096</v>
      </c>
      <c r="D13" s="35">
        <f t="shared" si="0"/>
        <v>1100</v>
      </c>
      <c r="E13" s="37">
        <f t="shared" si="1"/>
        <v>3.427218344965105E-2</v>
      </c>
      <c r="F13" t="s">
        <v>57</v>
      </c>
      <c r="G13" t="s">
        <v>90</v>
      </c>
      <c r="I13" t="s">
        <v>118</v>
      </c>
      <c r="J13">
        <v>82801</v>
      </c>
      <c r="K13" s="1" t="s">
        <v>39</v>
      </c>
      <c r="L13">
        <v>3</v>
      </c>
      <c r="M13">
        <v>0</v>
      </c>
      <c r="N13" s="2">
        <v>4</v>
      </c>
    </row>
    <row r="14" spans="1:62" ht="15" x14ac:dyDescent="0.2">
      <c r="A14" s="39" t="s">
        <v>14</v>
      </c>
      <c r="B14" s="41">
        <v>29656</v>
      </c>
      <c r="C14" s="41">
        <v>30518</v>
      </c>
      <c r="D14" s="46">
        <f t="shared" si="0"/>
        <v>862</v>
      </c>
      <c r="E14" s="167">
        <f t="shared" si="1"/>
        <v>2.8245625532472639E-2</v>
      </c>
      <c r="F14" s="40" t="s">
        <v>55</v>
      </c>
      <c r="G14" s="40" t="s">
        <v>478</v>
      </c>
      <c r="H14" s="40"/>
      <c r="I14" s="40" t="s">
        <v>119</v>
      </c>
      <c r="J14" s="40">
        <v>82414</v>
      </c>
      <c r="K14" s="39" t="s">
        <v>38</v>
      </c>
      <c r="L14" s="40">
        <v>2</v>
      </c>
      <c r="M14" s="40">
        <v>0</v>
      </c>
      <c r="N14" s="47">
        <v>3</v>
      </c>
    </row>
    <row r="15" spans="1:62" ht="15" x14ac:dyDescent="0.2">
      <c r="A15" s="1"/>
      <c r="B15" s="4"/>
      <c r="C15" s="4"/>
      <c r="D15" s="35"/>
      <c r="E15" s="37"/>
      <c r="K15" s="1"/>
    </row>
    <row r="16" spans="1:62" ht="15" x14ac:dyDescent="0.2">
      <c r="A16" s="5" t="s">
        <v>68</v>
      </c>
      <c r="B16" s="10"/>
      <c r="C16" s="10"/>
      <c r="D16" s="36"/>
      <c r="E16" s="123"/>
      <c r="F16" s="7"/>
      <c r="G16" s="7"/>
      <c r="H16" s="7"/>
      <c r="I16" s="7"/>
      <c r="J16" s="7"/>
      <c r="K16" s="8"/>
      <c r="L16" s="7"/>
      <c r="M16" s="7"/>
      <c r="N16" s="7"/>
    </row>
    <row r="17" spans="1:14" ht="15" x14ac:dyDescent="0.2">
      <c r="A17" s="1" t="s">
        <v>19</v>
      </c>
      <c r="B17" s="4">
        <v>23347</v>
      </c>
      <c r="C17" s="4">
        <v>23287</v>
      </c>
      <c r="D17" s="35">
        <f t="shared" ref="D17:D23" si="2">SUM(C17-B17)</f>
        <v>-60</v>
      </c>
      <c r="E17" s="38">
        <f t="shared" ref="E17:E23" si="3">SUM(D17/C17)</f>
        <v>-2.5765448533516555E-3</v>
      </c>
      <c r="F17" t="s">
        <v>60</v>
      </c>
      <c r="G17" t="s">
        <v>92</v>
      </c>
      <c r="H17" t="s">
        <v>106</v>
      </c>
      <c r="I17" t="s">
        <v>120</v>
      </c>
      <c r="J17">
        <v>83001</v>
      </c>
      <c r="K17" s="1" t="s">
        <v>37</v>
      </c>
      <c r="L17">
        <v>1</v>
      </c>
      <c r="M17">
        <v>0</v>
      </c>
      <c r="N17" s="2">
        <v>2</v>
      </c>
    </row>
    <row r="18" spans="1:14" ht="15" x14ac:dyDescent="0.2">
      <c r="A18" s="39" t="s">
        <v>20</v>
      </c>
      <c r="B18" s="41">
        <v>20441</v>
      </c>
      <c r="C18" s="41">
        <v>20712</v>
      </c>
      <c r="D18" s="46">
        <f t="shared" si="2"/>
        <v>271</v>
      </c>
      <c r="E18" s="167">
        <f t="shared" si="3"/>
        <v>1.3084202394747007E-2</v>
      </c>
      <c r="F18" s="40" t="s">
        <v>61</v>
      </c>
      <c r="G18" s="40" t="s">
        <v>93</v>
      </c>
      <c r="H18" s="40"/>
      <c r="I18" s="40" t="s">
        <v>121</v>
      </c>
      <c r="J18" s="40">
        <v>82930</v>
      </c>
      <c r="K18" s="39" t="s">
        <v>36</v>
      </c>
      <c r="L18" s="40">
        <v>2</v>
      </c>
      <c r="M18" s="40">
        <v>0</v>
      </c>
      <c r="N18" s="47">
        <v>3</v>
      </c>
    </row>
    <row r="19" spans="1:14" ht="15" x14ac:dyDescent="0.2">
      <c r="A19" s="1" t="s">
        <v>11</v>
      </c>
      <c r="B19" s="4">
        <v>19674</v>
      </c>
      <c r="C19" s="4">
        <v>20660</v>
      </c>
      <c r="D19" s="35">
        <f t="shared" si="2"/>
        <v>986</v>
      </c>
      <c r="E19" s="38">
        <f t="shared" si="3"/>
        <v>4.7725072604065825E-2</v>
      </c>
      <c r="F19" t="s">
        <v>52</v>
      </c>
      <c r="G19" t="s">
        <v>94</v>
      </c>
      <c r="I19" t="s">
        <v>122</v>
      </c>
      <c r="J19">
        <v>83101</v>
      </c>
      <c r="K19" s="1" t="s">
        <v>35</v>
      </c>
      <c r="L19">
        <v>5</v>
      </c>
      <c r="M19">
        <v>0</v>
      </c>
      <c r="N19" s="2">
        <v>6</v>
      </c>
    </row>
    <row r="20" spans="1:14" ht="15" x14ac:dyDescent="0.2">
      <c r="A20" s="39" t="s">
        <v>3</v>
      </c>
      <c r="B20" s="41">
        <v>14499</v>
      </c>
      <c r="C20" s="41">
        <v>14542</v>
      </c>
      <c r="D20" s="46">
        <f t="shared" si="2"/>
        <v>43</v>
      </c>
      <c r="E20" s="48">
        <f t="shared" si="3"/>
        <v>2.9569522761655892E-3</v>
      </c>
      <c r="F20" s="40" t="s">
        <v>47</v>
      </c>
      <c r="G20" s="40" t="s">
        <v>95</v>
      </c>
      <c r="H20" s="40"/>
      <c r="I20" s="40" t="s">
        <v>123</v>
      </c>
      <c r="J20" s="40">
        <v>82301</v>
      </c>
      <c r="K20" s="39" t="s">
        <v>34</v>
      </c>
      <c r="L20" s="40">
        <v>7</v>
      </c>
      <c r="M20" s="40">
        <v>0</v>
      </c>
      <c r="N20" s="47">
        <v>8</v>
      </c>
    </row>
    <row r="21" spans="1:14" ht="15" x14ac:dyDescent="0.2">
      <c r="A21" s="1" t="s">
        <v>4</v>
      </c>
      <c r="B21" s="4">
        <v>13724</v>
      </c>
      <c r="C21" s="4">
        <v>13786</v>
      </c>
      <c r="D21" s="35">
        <f t="shared" si="2"/>
        <v>62</v>
      </c>
      <c r="E21" s="38">
        <f t="shared" si="3"/>
        <v>4.4973161178006671E-3</v>
      </c>
      <c r="F21" s="93" t="s">
        <v>504</v>
      </c>
      <c r="G21" t="s">
        <v>96</v>
      </c>
      <c r="I21" t="s">
        <v>124</v>
      </c>
      <c r="J21">
        <v>82633</v>
      </c>
      <c r="K21" s="1" t="s">
        <v>33</v>
      </c>
      <c r="L21">
        <v>1</v>
      </c>
      <c r="M21">
        <v>0</v>
      </c>
      <c r="N21" s="2">
        <v>2</v>
      </c>
    </row>
    <row r="22" spans="1:14" ht="15" x14ac:dyDescent="0.2">
      <c r="A22" s="39" t="s">
        <v>7</v>
      </c>
      <c r="B22" s="41">
        <v>12503</v>
      </c>
      <c r="C22" s="41">
        <v>12562</v>
      </c>
      <c r="D22" s="46">
        <f t="shared" si="2"/>
        <v>59</v>
      </c>
      <c r="E22" s="48">
        <f t="shared" si="3"/>
        <v>4.6967043464416491E-3</v>
      </c>
      <c r="F22" s="47" t="s">
        <v>505</v>
      </c>
      <c r="G22" s="40" t="s">
        <v>97</v>
      </c>
      <c r="H22" s="40"/>
      <c r="I22" s="40" t="s">
        <v>125</v>
      </c>
      <c r="J22" s="40">
        <v>82240</v>
      </c>
      <c r="K22" s="39" t="s">
        <v>32</v>
      </c>
      <c r="L22" s="40">
        <v>0</v>
      </c>
      <c r="M22" s="40">
        <v>0</v>
      </c>
      <c r="N22" s="47">
        <v>1</v>
      </c>
    </row>
    <row r="23" spans="1:14" ht="15" x14ac:dyDescent="0.2">
      <c r="A23" s="1" t="s">
        <v>1</v>
      </c>
      <c r="B23" s="4">
        <v>11467</v>
      </c>
      <c r="C23" s="4">
        <v>11855</v>
      </c>
      <c r="D23" s="35">
        <f t="shared" si="2"/>
        <v>388</v>
      </c>
      <c r="E23" s="38">
        <f t="shared" si="3"/>
        <v>3.2728806410797132E-2</v>
      </c>
      <c r="F23" s="93" t="s">
        <v>506</v>
      </c>
      <c r="G23" t="s">
        <v>98</v>
      </c>
      <c r="H23" t="s">
        <v>107</v>
      </c>
      <c r="I23" t="s">
        <v>126</v>
      </c>
      <c r="J23">
        <v>82410</v>
      </c>
      <c r="K23" s="1" t="s">
        <v>31</v>
      </c>
      <c r="L23">
        <v>4</v>
      </c>
      <c r="M23">
        <v>0</v>
      </c>
      <c r="N23" s="2">
        <v>5</v>
      </c>
    </row>
    <row r="24" spans="1:14" x14ac:dyDescent="0.2">
      <c r="B24" s="4"/>
      <c r="C24" s="4"/>
      <c r="D24" s="4"/>
      <c r="E24" s="4"/>
    </row>
    <row r="25" spans="1:14" s="227" customFormat="1" ht="15" x14ac:dyDescent="0.2">
      <c r="A25" s="5" t="s">
        <v>69</v>
      </c>
      <c r="B25" s="10"/>
      <c r="C25" s="10"/>
      <c r="D25" s="36"/>
      <c r="E25" s="123"/>
      <c r="F25" s="7"/>
      <c r="G25" s="7"/>
      <c r="H25" s="7"/>
      <c r="I25" s="7"/>
      <c r="J25" s="7"/>
      <c r="K25" s="8"/>
      <c r="L25" s="7"/>
      <c r="M25" s="7"/>
      <c r="N25" s="7"/>
    </row>
    <row r="26" spans="1:14" s="212" customFormat="1" ht="15" x14ac:dyDescent="0.2">
      <c r="A26" s="221" t="s">
        <v>17</v>
      </c>
      <c r="B26" s="222">
        <v>8723</v>
      </c>
      <c r="C26" s="222">
        <v>8763</v>
      </c>
      <c r="D26" s="223">
        <f t="shared" ref="D26:D33" si="4">SUM(C26-B26)</f>
        <v>40</v>
      </c>
      <c r="E26" s="224">
        <f t="shared" ref="E26:E33" si="5">SUM(D26/C26)</f>
        <v>4.5646468104530409E-3</v>
      </c>
      <c r="F26" s="225" t="s">
        <v>58</v>
      </c>
      <c r="G26" s="225" t="s">
        <v>99</v>
      </c>
      <c r="H26" s="225" t="s">
        <v>108</v>
      </c>
      <c r="I26" s="225" t="s">
        <v>127</v>
      </c>
      <c r="J26" s="225">
        <v>82941</v>
      </c>
      <c r="K26" s="221" t="s">
        <v>30</v>
      </c>
      <c r="L26" s="225">
        <v>1</v>
      </c>
      <c r="M26" s="225">
        <v>0</v>
      </c>
      <c r="N26" s="226">
        <v>2</v>
      </c>
    </row>
    <row r="27" spans="1:14" s="212" customFormat="1" ht="15" x14ac:dyDescent="0.2">
      <c r="A27" s="213" t="s">
        <v>15</v>
      </c>
      <c r="B27" s="214">
        <v>8623</v>
      </c>
      <c r="C27" s="214">
        <v>8645</v>
      </c>
      <c r="D27" s="215">
        <f>SUM(C27-B27)</f>
        <v>22</v>
      </c>
      <c r="E27" s="219">
        <f>SUM(D27/C27)</f>
        <v>2.5448235974551764E-3</v>
      </c>
      <c r="F27" s="217" t="s">
        <v>56</v>
      </c>
      <c r="G27" s="218" t="s">
        <v>100</v>
      </c>
      <c r="H27" s="217"/>
      <c r="I27" s="217" t="s">
        <v>128</v>
      </c>
      <c r="J27" s="217">
        <v>82201</v>
      </c>
      <c r="K27" s="213" t="s">
        <v>29</v>
      </c>
      <c r="L27" s="217">
        <v>3</v>
      </c>
      <c r="M27" s="217">
        <v>0</v>
      </c>
      <c r="N27" s="218">
        <v>4</v>
      </c>
    </row>
    <row r="28" spans="1:14" s="212" customFormat="1" ht="15" x14ac:dyDescent="0.2">
      <c r="A28" s="206" t="s">
        <v>9</v>
      </c>
      <c r="B28" s="207">
        <v>8459</v>
      </c>
      <c r="C28" s="207">
        <v>8730</v>
      </c>
      <c r="D28" s="208">
        <f>SUM(C28-B28)</f>
        <v>271</v>
      </c>
      <c r="E28" s="220">
        <f>SUM(D28/C28)</f>
        <v>3.1042382588774342E-2</v>
      </c>
      <c r="F28" s="210" t="s">
        <v>50</v>
      </c>
      <c r="G28" s="211" t="s">
        <v>507</v>
      </c>
      <c r="H28" s="210"/>
      <c r="I28" s="210" t="s">
        <v>129</v>
      </c>
      <c r="J28" s="210">
        <v>82834</v>
      </c>
      <c r="K28" s="206" t="s">
        <v>28</v>
      </c>
      <c r="L28" s="210">
        <v>1</v>
      </c>
      <c r="M28" s="210">
        <v>0</v>
      </c>
      <c r="N28" s="211">
        <v>2</v>
      </c>
    </row>
    <row r="29" spans="1:14" s="212" customFormat="1" ht="15" x14ac:dyDescent="0.2">
      <c r="A29" s="213" t="s">
        <v>21</v>
      </c>
      <c r="B29" s="214">
        <v>7658</v>
      </c>
      <c r="C29" s="214">
        <v>7719</v>
      </c>
      <c r="D29" s="215">
        <f t="shared" si="4"/>
        <v>61</v>
      </c>
      <c r="E29" s="219">
        <f>SUM(D29/C29)</f>
        <v>7.9025780541520929E-3</v>
      </c>
      <c r="F29" s="217" t="s">
        <v>62</v>
      </c>
      <c r="G29" s="218" t="s">
        <v>508</v>
      </c>
      <c r="H29" s="217"/>
      <c r="I29" s="217" t="s">
        <v>130</v>
      </c>
      <c r="J29" s="217">
        <v>82401</v>
      </c>
      <c r="K29" s="213" t="s">
        <v>27</v>
      </c>
      <c r="L29" s="217">
        <v>1</v>
      </c>
      <c r="M29" s="217">
        <v>0</v>
      </c>
      <c r="N29" s="218">
        <v>2</v>
      </c>
    </row>
    <row r="30" spans="1:14" s="212" customFormat="1" ht="15" x14ac:dyDescent="0.2">
      <c r="A30" s="206" t="s">
        <v>5</v>
      </c>
      <c r="B30" s="207">
        <v>7178</v>
      </c>
      <c r="C30" s="207">
        <v>7448</v>
      </c>
      <c r="D30" s="208">
        <f t="shared" si="4"/>
        <v>270</v>
      </c>
      <c r="E30" s="220">
        <f t="shared" si="5"/>
        <v>3.6251342642320085E-2</v>
      </c>
      <c r="F30" s="93" t="s">
        <v>509</v>
      </c>
      <c r="G30" s="210" t="s">
        <v>102</v>
      </c>
      <c r="H30" s="210" t="s">
        <v>109</v>
      </c>
      <c r="I30" s="210" t="s">
        <v>131</v>
      </c>
      <c r="J30" s="210">
        <v>82729</v>
      </c>
      <c r="K30" s="206" t="s">
        <v>26</v>
      </c>
      <c r="L30" s="210">
        <v>2</v>
      </c>
      <c r="M30" s="210">
        <v>0</v>
      </c>
      <c r="N30" s="211">
        <v>3</v>
      </c>
    </row>
    <row r="31" spans="1:14" s="212" customFormat="1" ht="15" x14ac:dyDescent="0.2">
      <c r="A31" s="213" t="s">
        <v>22</v>
      </c>
      <c r="B31" s="214">
        <v>6809</v>
      </c>
      <c r="C31" s="214">
        <v>6860</v>
      </c>
      <c r="D31" s="215">
        <f t="shared" si="4"/>
        <v>51</v>
      </c>
      <c r="E31" s="219">
        <f t="shared" si="5"/>
        <v>7.4344023323615165E-3</v>
      </c>
      <c r="F31" s="217" t="s">
        <v>63</v>
      </c>
      <c r="G31" s="217" t="s">
        <v>510</v>
      </c>
      <c r="H31" s="217"/>
      <c r="I31" s="217" t="s">
        <v>132</v>
      </c>
      <c r="J31" s="217">
        <v>82701</v>
      </c>
      <c r="K31" s="213" t="s">
        <v>25</v>
      </c>
      <c r="L31" s="217">
        <v>1</v>
      </c>
      <c r="M31" s="217">
        <v>0</v>
      </c>
      <c r="N31" s="218">
        <v>2</v>
      </c>
    </row>
    <row r="32" spans="1:14" s="212" customFormat="1" ht="15" x14ac:dyDescent="0.2">
      <c r="A32" s="206" t="s">
        <v>8</v>
      </c>
      <c r="B32" s="207">
        <v>4622</v>
      </c>
      <c r="C32" s="207">
        <v>4588</v>
      </c>
      <c r="D32" s="208">
        <f t="shared" si="4"/>
        <v>-34</v>
      </c>
      <c r="E32" s="209">
        <f t="shared" si="5"/>
        <v>-7.4106364428945075E-3</v>
      </c>
      <c r="F32" s="210" t="s">
        <v>49</v>
      </c>
      <c r="G32" s="210" t="s">
        <v>104</v>
      </c>
      <c r="H32" s="210" t="s">
        <v>110</v>
      </c>
      <c r="I32" s="210" t="s">
        <v>133</v>
      </c>
      <c r="J32" s="210">
        <v>82443</v>
      </c>
      <c r="K32" s="206" t="s">
        <v>24</v>
      </c>
      <c r="L32" s="210">
        <v>0</v>
      </c>
      <c r="M32" s="210">
        <v>0</v>
      </c>
      <c r="N32" s="211">
        <v>1</v>
      </c>
    </row>
    <row r="33" spans="1:14" s="212" customFormat="1" ht="15" x14ac:dyDescent="0.2">
      <c r="A33" s="213" t="s">
        <v>13</v>
      </c>
      <c r="B33" s="214">
        <v>2439</v>
      </c>
      <c r="C33" s="214">
        <v>2380</v>
      </c>
      <c r="D33" s="215">
        <f t="shared" si="4"/>
        <v>-59</v>
      </c>
      <c r="E33" s="216">
        <f t="shared" si="5"/>
        <v>-2.4789915966386553E-2</v>
      </c>
      <c r="F33" s="217" t="s">
        <v>54</v>
      </c>
      <c r="G33" s="217" t="s">
        <v>105</v>
      </c>
      <c r="H33" s="217" t="s">
        <v>111</v>
      </c>
      <c r="I33" s="217" t="s">
        <v>134</v>
      </c>
      <c r="J33" s="217">
        <v>82225</v>
      </c>
      <c r="K33" s="213" t="s">
        <v>23</v>
      </c>
      <c r="L33" s="217">
        <v>0</v>
      </c>
      <c r="M33" s="217">
        <v>0</v>
      </c>
      <c r="N33" s="218">
        <v>1</v>
      </c>
    </row>
    <row r="34" spans="1:14" x14ac:dyDescent="0.2">
      <c r="B34" s="4"/>
      <c r="C34" s="4"/>
      <c r="D34" s="4"/>
      <c r="E34" s="4"/>
    </row>
    <row r="35" spans="1:14" ht="15" x14ac:dyDescent="0.25">
      <c r="A35" s="6" t="s">
        <v>71</v>
      </c>
      <c r="B35" s="15">
        <f>SUM(B5:B33)</f>
        <v>577267</v>
      </c>
      <c r="C35" s="15">
        <f>SUM(C5:C33)</f>
        <v>581381</v>
      </c>
      <c r="D35" s="166">
        <f>SUM(D5:D33)</f>
        <v>4114</v>
      </c>
      <c r="E35" s="237">
        <f>D35/C35</f>
        <v>7.0762546419645637E-3</v>
      </c>
      <c r="F35" s="12"/>
      <c r="G35" s="12"/>
      <c r="H35" s="12"/>
      <c r="I35" s="12"/>
      <c r="J35" s="12"/>
      <c r="K35" s="12"/>
      <c r="L35" s="12">
        <f>SUM(L5:L33)</f>
        <v>51</v>
      </c>
      <c r="M35" s="12">
        <f t="shared" ref="M35:N35" si="6">SUM(M5:M33)</f>
        <v>3</v>
      </c>
      <c r="N35" s="12">
        <f t="shared" si="6"/>
        <v>77</v>
      </c>
    </row>
    <row r="37" spans="1:14" x14ac:dyDescent="0.2">
      <c r="C37" s="4"/>
      <c r="E37" s="236"/>
    </row>
    <row r="38" spans="1:14" x14ac:dyDescent="0.2">
      <c r="E38" s="37"/>
    </row>
  </sheetData>
  <mergeCells count="1">
    <mergeCell ref="A1:N1"/>
  </mergeCells>
  <conditionalFormatting sqref="D5:E35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25" right="0.25" top="0.75" bottom="0.75" header="0.3" footer="0.3"/>
  <pageSetup paperSize="5"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K38"/>
  <sheetViews>
    <sheetView zoomScaleNormal="100" workbookViewId="0">
      <selection activeCell="A34" sqref="A34"/>
    </sheetView>
  </sheetViews>
  <sheetFormatPr defaultRowHeight="12.75" x14ac:dyDescent="0.2"/>
  <cols>
    <col min="1" max="1" width="36.140625" customWidth="1"/>
    <col min="2" max="2" width="10.7109375" bestFit="1" customWidth="1"/>
    <col min="3" max="3" width="9.85546875" bestFit="1" customWidth="1"/>
    <col min="4" max="4" width="6.7109375" style="86" bestFit="1" customWidth="1"/>
    <col min="5" max="5" width="9.85546875" bestFit="1" customWidth="1"/>
    <col min="6" max="6" width="15.140625" style="86" bestFit="1" customWidth="1"/>
    <col min="7" max="7" width="9.85546875" bestFit="1" customWidth="1"/>
    <col min="8" max="9" width="11.42578125" style="86" customWidth="1"/>
    <col min="10" max="10" width="13.42578125" bestFit="1" customWidth="1"/>
    <col min="11" max="11" width="13.5703125" style="86" bestFit="1" customWidth="1"/>
  </cols>
  <sheetData>
    <row r="1" spans="1:11" s="26" customFormat="1" x14ac:dyDescent="0.2">
      <c r="A1" s="269" t="s">
        <v>525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s="91" customFormat="1" ht="51" x14ac:dyDescent="0.2">
      <c r="A2" s="81"/>
      <c r="B2" s="34" t="s">
        <v>135</v>
      </c>
      <c r="C2" s="82" t="s">
        <v>190</v>
      </c>
      <c r="D2" s="84" t="s">
        <v>191</v>
      </c>
      <c r="E2" s="82" t="s">
        <v>497</v>
      </c>
      <c r="F2" s="84" t="s">
        <v>498</v>
      </c>
      <c r="G2" s="82" t="s">
        <v>195</v>
      </c>
      <c r="H2" s="84" t="s">
        <v>192</v>
      </c>
      <c r="I2" s="84" t="s">
        <v>495</v>
      </c>
      <c r="J2" s="90" t="s">
        <v>193</v>
      </c>
      <c r="K2" s="84" t="s">
        <v>194</v>
      </c>
    </row>
    <row r="3" spans="1:11" x14ac:dyDescent="0.2">
      <c r="C3" s="4"/>
      <c r="E3" s="4"/>
      <c r="G3" s="4"/>
      <c r="J3" s="4"/>
    </row>
    <row r="4" spans="1:11" x14ac:dyDescent="0.2">
      <c r="A4" s="5" t="s">
        <v>70</v>
      </c>
      <c r="B4" s="14"/>
      <c r="C4" s="10"/>
      <c r="D4" s="87"/>
      <c r="E4" s="10"/>
      <c r="F4" s="87"/>
      <c r="G4" s="10"/>
      <c r="H4" s="87"/>
      <c r="I4" s="87"/>
      <c r="J4" s="10"/>
      <c r="K4" s="87"/>
    </row>
    <row r="5" spans="1:11" ht="15" x14ac:dyDescent="0.2">
      <c r="A5" s="1" t="s">
        <v>10</v>
      </c>
      <c r="B5" s="4">
        <f>'General Info'!C5</f>
        <v>100723</v>
      </c>
      <c r="C5" s="4">
        <v>244387</v>
      </c>
      <c r="D5" s="86">
        <f>SUM(C5/B5)</f>
        <v>2.4263276510826723</v>
      </c>
      <c r="E5" s="4">
        <v>18912</v>
      </c>
      <c r="F5" s="242">
        <f>SUM(E5/B5)*1000</f>
        <v>187.7624772891991</v>
      </c>
      <c r="G5" s="4">
        <v>13839</v>
      </c>
      <c r="H5" s="242">
        <f>SUM(G5/B5)*1000</f>
        <v>137.39662241990408</v>
      </c>
      <c r="I5" s="129">
        <v>56</v>
      </c>
      <c r="J5" s="4">
        <v>167</v>
      </c>
      <c r="K5" s="86">
        <f>SUM(J5/B5)*1000</f>
        <v>1.6580125691252245</v>
      </c>
    </row>
    <row r="6" spans="1:11" ht="15" x14ac:dyDescent="0.2">
      <c r="A6" s="39" t="s">
        <v>12</v>
      </c>
      <c r="B6" s="169">
        <f>'General Info'!C6</f>
        <v>79601</v>
      </c>
      <c r="C6" s="41">
        <v>145578</v>
      </c>
      <c r="D6" s="88">
        <f>SUM(C6/B6)</f>
        <v>1.8288463712767427</v>
      </c>
      <c r="E6" s="41">
        <v>10021</v>
      </c>
      <c r="F6" s="247">
        <f>SUM(E6/B6)*1000</f>
        <v>125.89037826157961</v>
      </c>
      <c r="G6" s="41">
        <v>28722</v>
      </c>
      <c r="H6" s="243">
        <f>SUM(G6/B6)*1000</f>
        <v>360.82461275612116</v>
      </c>
      <c r="I6" s="131">
        <v>59</v>
      </c>
      <c r="J6" s="41">
        <v>153</v>
      </c>
      <c r="K6" s="88">
        <f>SUM(J6/B6)*1000</f>
        <v>1.9220864059496741</v>
      </c>
    </row>
    <row r="7" spans="1:11" ht="15" x14ac:dyDescent="0.2">
      <c r="A7" s="1"/>
      <c r="B7" s="4"/>
      <c r="C7" s="4"/>
      <c r="E7" s="4"/>
      <c r="F7" s="242"/>
      <c r="G7" s="4"/>
      <c r="H7" s="242"/>
      <c r="J7" s="4"/>
    </row>
    <row r="8" spans="1:11" x14ac:dyDescent="0.2">
      <c r="A8" s="5" t="s">
        <v>67</v>
      </c>
      <c r="B8" s="10"/>
      <c r="C8" s="10"/>
      <c r="D8" s="87"/>
      <c r="E8" s="10"/>
      <c r="F8" s="244"/>
      <c r="G8" s="10"/>
      <c r="H8" s="244"/>
      <c r="I8" s="87"/>
      <c r="J8" s="10"/>
      <c r="K8" s="87"/>
    </row>
    <row r="9" spans="1:11" ht="15" x14ac:dyDescent="0.2">
      <c r="A9" s="1" t="s">
        <v>2</v>
      </c>
      <c r="B9" s="4">
        <f>'General Info'!C9</f>
        <v>47058</v>
      </c>
      <c r="C9" s="4">
        <v>192554</v>
      </c>
      <c r="D9" s="86">
        <f t="shared" ref="D9:D14" si="0">SUM(C9/B9)</f>
        <v>4.0918441072718776</v>
      </c>
      <c r="E9" s="4">
        <v>6248</v>
      </c>
      <c r="F9" s="242">
        <f t="shared" ref="F9:F14" si="1">SUM(E9/B9)*1000</f>
        <v>132.7723235156615</v>
      </c>
      <c r="G9" s="4">
        <v>22364</v>
      </c>
      <c r="H9" s="242">
        <f t="shared" ref="H9:H14" si="2">SUM(G9/B9)*1000</f>
        <v>475.24331675804325</v>
      </c>
      <c r="I9" s="129">
        <v>227</v>
      </c>
      <c r="J9" s="4">
        <v>184</v>
      </c>
      <c r="K9" s="86">
        <f t="shared" ref="K9:K14" si="3">SUM(J9/B9)*1000</f>
        <v>3.9100684261974585</v>
      </c>
    </row>
    <row r="10" spans="1:11" ht="15" x14ac:dyDescent="0.2">
      <c r="A10" s="39" t="s">
        <v>18</v>
      </c>
      <c r="B10" s="169">
        <f>'General Info'!C10</f>
        <v>41345</v>
      </c>
      <c r="C10" s="41">
        <v>146226</v>
      </c>
      <c r="D10" s="88">
        <f t="shared" si="0"/>
        <v>3.5367275365824162</v>
      </c>
      <c r="E10" s="41">
        <v>12073</v>
      </c>
      <c r="F10" s="247">
        <f t="shared" si="1"/>
        <v>292.00628854758736</v>
      </c>
      <c r="G10" s="41">
        <v>38291</v>
      </c>
      <c r="H10" s="243">
        <f t="shared" si="2"/>
        <v>926.1337525698392</v>
      </c>
      <c r="I10" s="263">
        <v>1145</v>
      </c>
      <c r="J10" s="41">
        <v>80</v>
      </c>
      <c r="K10" s="88">
        <f t="shared" si="3"/>
        <v>1.9349377191921635</v>
      </c>
    </row>
    <row r="11" spans="1:11" ht="15" x14ac:dyDescent="0.2">
      <c r="A11" s="1" t="s">
        <v>6</v>
      </c>
      <c r="B11" s="4">
        <f>'General Info'!C11</f>
        <v>39472</v>
      </c>
      <c r="C11" s="4">
        <v>73739</v>
      </c>
      <c r="D11" s="86">
        <f t="shared" si="0"/>
        <v>1.8681343737332794</v>
      </c>
      <c r="E11" s="4">
        <v>4660</v>
      </c>
      <c r="F11" s="242">
        <f t="shared" si="1"/>
        <v>118.05837049047426</v>
      </c>
      <c r="G11" s="4">
        <v>10454</v>
      </c>
      <c r="H11" s="242">
        <f t="shared" si="2"/>
        <v>264.84596676124852</v>
      </c>
      <c r="I11" s="262">
        <v>0</v>
      </c>
      <c r="J11" s="4">
        <v>60</v>
      </c>
      <c r="K11" s="86">
        <f t="shared" si="3"/>
        <v>1.5200648561005268</v>
      </c>
    </row>
    <row r="12" spans="1:11" ht="15" x14ac:dyDescent="0.2">
      <c r="A12" s="39" t="s">
        <v>0</v>
      </c>
      <c r="B12" s="169">
        <f>'General Info'!C12</f>
        <v>38031</v>
      </c>
      <c r="C12" s="41">
        <v>67460</v>
      </c>
      <c r="D12" s="88">
        <f t="shared" si="0"/>
        <v>1.773816097394231</v>
      </c>
      <c r="E12" s="41">
        <v>3369</v>
      </c>
      <c r="F12" s="247">
        <f t="shared" si="1"/>
        <v>88.585627514396151</v>
      </c>
      <c r="G12" s="41">
        <v>8093</v>
      </c>
      <c r="H12" s="243">
        <f t="shared" si="2"/>
        <v>212.80008414188424</v>
      </c>
      <c r="I12" s="131">
        <v>2140</v>
      </c>
      <c r="J12" s="41">
        <v>46</v>
      </c>
      <c r="K12" s="88">
        <f t="shared" si="3"/>
        <v>1.2095395861271068</v>
      </c>
    </row>
    <row r="13" spans="1:11" ht="15" x14ac:dyDescent="0.2">
      <c r="A13" s="1" t="s">
        <v>16</v>
      </c>
      <c r="B13" s="4">
        <f>'General Info'!C13</f>
        <v>32096</v>
      </c>
      <c r="C13" s="4">
        <v>110734</v>
      </c>
      <c r="D13" s="86">
        <f t="shared" si="0"/>
        <v>3.4500872382851444</v>
      </c>
      <c r="E13" s="4">
        <v>6858</v>
      </c>
      <c r="F13" s="242">
        <f t="shared" si="1"/>
        <v>213.6714855433699</v>
      </c>
      <c r="G13" s="4">
        <v>15141</v>
      </c>
      <c r="H13" s="242">
        <f t="shared" si="2"/>
        <v>471.74102691924224</v>
      </c>
      <c r="I13" s="129">
        <v>82</v>
      </c>
      <c r="J13" s="4">
        <v>107</v>
      </c>
      <c r="K13" s="86">
        <f t="shared" si="3"/>
        <v>3.3337487537387838</v>
      </c>
    </row>
    <row r="14" spans="1:11" ht="15" x14ac:dyDescent="0.2">
      <c r="A14" s="39" t="s">
        <v>14</v>
      </c>
      <c r="B14" s="169">
        <f>'General Info'!C14</f>
        <v>30518</v>
      </c>
      <c r="C14" s="41">
        <v>155738</v>
      </c>
      <c r="D14" s="88">
        <f t="shared" si="0"/>
        <v>5.103152238023462</v>
      </c>
      <c r="E14" s="41">
        <v>7546</v>
      </c>
      <c r="F14" s="247">
        <f t="shared" si="1"/>
        <v>247.26390982371061</v>
      </c>
      <c r="G14" s="41">
        <v>14961</v>
      </c>
      <c r="H14" s="243">
        <f t="shared" si="2"/>
        <v>490.23527098761389</v>
      </c>
      <c r="I14" s="131">
        <v>165</v>
      </c>
      <c r="J14" s="41">
        <v>61</v>
      </c>
      <c r="K14" s="88">
        <f t="shared" si="3"/>
        <v>1.9988203683072285</v>
      </c>
    </row>
    <row r="15" spans="1:11" ht="15" x14ac:dyDescent="0.2">
      <c r="A15" s="1"/>
      <c r="B15" s="4"/>
      <c r="C15" s="4"/>
      <c r="E15" s="4"/>
      <c r="F15" s="242"/>
      <c r="G15" s="4"/>
      <c r="H15" s="242"/>
      <c r="I15" s="129"/>
      <c r="J15" s="4"/>
    </row>
    <row r="16" spans="1:11" x14ac:dyDescent="0.2">
      <c r="A16" s="5" t="s">
        <v>68</v>
      </c>
      <c r="B16" s="10"/>
      <c r="C16" s="10"/>
      <c r="D16" s="87"/>
      <c r="E16" s="10"/>
      <c r="F16" s="244"/>
      <c r="G16" s="10"/>
      <c r="H16" s="244"/>
      <c r="I16" s="130"/>
      <c r="J16" s="10"/>
      <c r="K16" s="87"/>
    </row>
    <row r="17" spans="1:11" ht="15" x14ac:dyDescent="0.2">
      <c r="A17" s="1" t="s">
        <v>19</v>
      </c>
      <c r="B17" s="4">
        <f>'General Info'!C17</f>
        <v>23287</v>
      </c>
      <c r="C17" s="4">
        <v>63894</v>
      </c>
      <c r="D17" s="86">
        <f t="shared" ref="D17:D23" si="4">SUM(C17/B17)</f>
        <v>2.743762614334178</v>
      </c>
      <c r="E17" s="4">
        <v>9984</v>
      </c>
      <c r="F17" s="242">
        <f t="shared" ref="F17:F23" si="5">SUM(E17/B17)*1000</f>
        <v>428.73706359771546</v>
      </c>
      <c r="G17" s="4">
        <v>9452</v>
      </c>
      <c r="H17" s="242">
        <f t="shared" ref="H17:H23" si="6">SUM(G17/B17)*1000</f>
        <v>405.89169923133079</v>
      </c>
      <c r="I17" s="129">
        <v>441</v>
      </c>
      <c r="J17" s="4">
        <v>95</v>
      </c>
      <c r="K17" s="86">
        <f>SUM(J17/B18)*1000</f>
        <v>4.5867130166087291</v>
      </c>
    </row>
    <row r="18" spans="1:11" ht="15" x14ac:dyDescent="0.2">
      <c r="A18" s="39" t="s">
        <v>20</v>
      </c>
      <c r="B18" s="169">
        <f>'General Info'!C18</f>
        <v>20712</v>
      </c>
      <c r="C18" s="41">
        <v>114818</v>
      </c>
      <c r="D18" s="88">
        <f t="shared" si="4"/>
        <v>5.543549633062959</v>
      </c>
      <c r="E18" s="41">
        <v>34128</v>
      </c>
      <c r="F18" s="247">
        <f t="shared" si="5"/>
        <v>1647.7404403244495</v>
      </c>
      <c r="G18" s="41">
        <v>12780</v>
      </c>
      <c r="H18" s="243">
        <f t="shared" si="6"/>
        <v>617.03360370799533</v>
      </c>
      <c r="I18" s="131">
        <v>23</v>
      </c>
      <c r="J18" s="41">
        <v>43</v>
      </c>
      <c r="K18" s="88">
        <f t="shared" ref="K18:K23" si="7">SUM(J18/B18)*1000</f>
        <v>2.0760911548860563</v>
      </c>
    </row>
    <row r="19" spans="1:11" ht="15" x14ac:dyDescent="0.2">
      <c r="A19" s="1" t="s">
        <v>11</v>
      </c>
      <c r="B19" s="4">
        <f>'General Info'!C19</f>
        <v>20660</v>
      </c>
      <c r="C19" s="4">
        <v>100206</v>
      </c>
      <c r="D19" s="86">
        <f t="shared" si="4"/>
        <v>4.8502420135527586</v>
      </c>
      <c r="E19" s="4">
        <v>7137</v>
      </c>
      <c r="F19" s="242">
        <f t="shared" si="5"/>
        <v>345.45014520813169</v>
      </c>
      <c r="G19" s="4">
        <v>11624</v>
      </c>
      <c r="H19" s="242">
        <f t="shared" si="6"/>
        <v>562.63310745401736</v>
      </c>
      <c r="I19" s="129">
        <v>188</v>
      </c>
      <c r="J19" s="4">
        <v>168</v>
      </c>
      <c r="K19" s="86">
        <f t="shared" si="7"/>
        <v>8.1316553727008714</v>
      </c>
    </row>
    <row r="20" spans="1:11" ht="15" x14ac:dyDescent="0.2">
      <c r="A20" s="39" t="s">
        <v>3</v>
      </c>
      <c r="B20" s="169">
        <f>'General Info'!C20</f>
        <v>14542</v>
      </c>
      <c r="C20" s="41">
        <v>90984</v>
      </c>
      <c r="D20" s="88">
        <f t="shared" si="4"/>
        <v>6.2566359510383718</v>
      </c>
      <c r="E20" s="41">
        <v>3808</v>
      </c>
      <c r="F20" s="247">
        <f t="shared" si="5"/>
        <v>261.86219227066425</v>
      </c>
      <c r="G20" s="41">
        <v>12889</v>
      </c>
      <c r="H20" s="243">
        <f t="shared" si="6"/>
        <v>886.32925319763444</v>
      </c>
      <c r="I20" s="131">
        <v>116</v>
      </c>
      <c r="J20" s="41">
        <v>29</v>
      </c>
      <c r="K20" s="88">
        <f t="shared" si="7"/>
        <v>1.9942236281116767</v>
      </c>
    </row>
    <row r="21" spans="1:11" ht="15" x14ac:dyDescent="0.2">
      <c r="A21" s="1" t="s">
        <v>4</v>
      </c>
      <c r="B21" s="4">
        <f>'General Info'!C21</f>
        <v>13786</v>
      </c>
      <c r="C21" s="4">
        <v>60885</v>
      </c>
      <c r="D21" s="86">
        <f t="shared" si="4"/>
        <v>4.4164369650369943</v>
      </c>
      <c r="E21" s="4">
        <v>5478</v>
      </c>
      <c r="F21" s="242">
        <f t="shared" si="5"/>
        <v>397.35964021471062</v>
      </c>
      <c r="G21" s="4">
        <v>6358</v>
      </c>
      <c r="H21" s="242">
        <f t="shared" si="6"/>
        <v>461.19251414478458</v>
      </c>
      <c r="I21" s="129">
        <v>257</v>
      </c>
      <c r="J21" s="4">
        <v>67</v>
      </c>
      <c r="K21" s="86">
        <f t="shared" si="7"/>
        <v>4.8600029014942692</v>
      </c>
    </row>
    <row r="22" spans="1:11" ht="15" x14ac:dyDescent="0.2">
      <c r="A22" s="39" t="s">
        <v>7</v>
      </c>
      <c r="B22" s="169">
        <f>'General Info'!C22</f>
        <v>12562</v>
      </c>
      <c r="C22" s="41">
        <v>38990</v>
      </c>
      <c r="D22" s="88">
        <f t="shared" si="4"/>
        <v>3.103805126572202</v>
      </c>
      <c r="E22" s="41">
        <v>1245</v>
      </c>
      <c r="F22" s="247">
        <f t="shared" si="5"/>
        <v>99.108422225760236</v>
      </c>
      <c r="G22" s="41">
        <v>1985</v>
      </c>
      <c r="H22" s="243">
        <f t="shared" si="6"/>
        <v>158.01623945231651</v>
      </c>
      <c r="I22" s="131">
        <v>33</v>
      </c>
      <c r="J22" s="41">
        <v>61</v>
      </c>
      <c r="K22" s="88">
        <f t="shared" si="7"/>
        <v>4.8559146632701804</v>
      </c>
    </row>
    <row r="23" spans="1:11" ht="15" x14ac:dyDescent="0.2">
      <c r="A23" s="1" t="s">
        <v>1</v>
      </c>
      <c r="B23" s="4">
        <f>'General Info'!C23</f>
        <v>11855</v>
      </c>
      <c r="C23" s="4">
        <v>79411</v>
      </c>
      <c r="D23" s="86">
        <f t="shared" si="4"/>
        <v>6.69852382960776</v>
      </c>
      <c r="E23" s="4">
        <v>4291</v>
      </c>
      <c r="F23" s="242">
        <f t="shared" si="5"/>
        <v>361.95698017714045</v>
      </c>
      <c r="G23" s="4">
        <v>2823</v>
      </c>
      <c r="H23" s="242">
        <f t="shared" si="6"/>
        <v>238.1273724167018</v>
      </c>
      <c r="I23" s="129">
        <v>265</v>
      </c>
      <c r="J23" s="4">
        <v>54</v>
      </c>
      <c r="K23" s="86">
        <f t="shared" si="7"/>
        <v>4.555040067482075</v>
      </c>
    </row>
    <row r="24" spans="1:11" x14ac:dyDescent="0.2">
      <c r="A24" s="93"/>
      <c r="B24" s="4"/>
      <c r="C24" s="93"/>
      <c r="D24" s="192"/>
      <c r="E24" s="93"/>
      <c r="F24" s="248"/>
      <c r="G24" s="93"/>
      <c r="H24" s="245"/>
      <c r="I24" s="192"/>
      <c r="J24" s="93"/>
      <c r="K24" s="192"/>
    </row>
    <row r="25" spans="1:11" ht="15" x14ac:dyDescent="0.2">
      <c r="A25" s="151" t="s">
        <v>69</v>
      </c>
      <c r="B25" s="10"/>
      <c r="C25" s="158"/>
      <c r="D25" s="159"/>
      <c r="E25" s="158"/>
      <c r="F25" s="246"/>
      <c r="G25" s="158"/>
      <c r="H25" s="246"/>
      <c r="I25" s="160"/>
      <c r="J25" s="158"/>
      <c r="K25" s="159"/>
    </row>
    <row r="26" spans="1:11" ht="15" x14ac:dyDescent="0.25">
      <c r="A26" s="184" t="s">
        <v>17</v>
      </c>
      <c r="B26" s="169">
        <f>'General Info'!C26</f>
        <v>8763</v>
      </c>
      <c r="C26" s="41">
        <v>44709</v>
      </c>
      <c r="D26" s="88">
        <f t="shared" ref="D26:D33" si="8">SUM(C26/B26)</f>
        <v>5.1020198562136256</v>
      </c>
      <c r="E26" s="41">
        <v>2377</v>
      </c>
      <c r="F26" s="247">
        <f t="shared" ref="F26:F33" si="9">SUM(E26/B26)*1000</f>
        <v>271.25413671117201</v>
      </c>
      <c r="G26" s="41">
        <v>10322</v>
      </c>
      <c r="H26" s="243">
        <f t="shared" ref="H26:H33" si="10">SUM(G26/B26)*1000</f>
        <v>1177.9071094374071</v>
      </c>
      <c r="I26" s="131">
        <v>134</v>
      </c>
      <c r="J26" s="41">
        <v>63</v>
      </c>
      <c r="K26" s="88">
        <f t="shared" ref="K26:K33" si="11">SUM(J26/B26)*1000</f>
        <v>7.1893187264635392</v>
      </c>
    </row>
    <row r="27" spans="1:11" ht="15" x14ac:dyDescent="0.2">
      <c r="A27" s="1" t="s">
        <v>15</v>
      </c>
      <c r="B27" s="4">
        <f>'General Info'!C27</f>
        <v>8645</v>
      </c>
      <c r="C27" s="4">
        <v>50236</v>
      </c>
      <c r="D27" s="86">
        <f t="shared" si="8"/>
        <v>5.8109890109890108</v>
      </c>
      <c r="E27" s="4">
        <v>1007</v>
      </c>
      <c r="F27" s="242">
        <f t="shared" si="9"/>
        <v>116.48351648351648</v>
      </c>
      <c r="G27" s="4">
        <v>5986</v>
      </c>
      <c r="H27" s="242">
        <f t="shared" si="10"/>
        <v>692.42336610757661</v>
      </c>
      <c r="I27" s="129">
        <v>0</v>
      </c>
      <c r="J27" s="4">
        <v>77</v>
      </c>
      <c r="K27" s="86">
        <f t="shared" si="11"/>
        <v>8.9068825910931171</v>
      </c>
    </row>
    <row r="28" spans="1:11" ht="15" x14ac:dyDescent="0.2">
      <c r="A28" s="39" t="s">
        <v>9</v>
      </c>
      <c r="B28" s="169">
        <f>'General Info'!C28</f>
        <v>8730</v>
      </c>
      <c r="C28" s="41">
        <v>46801</v>
      </c>
      <c r="D28" s="88">
        <f t="shared" si="8"/>
        <v>5.3609392898052688</v>
      </c>
      <c r="E28" s="41">
        <v>2283</v>
      </c>
      <c r="F28" s="247">
        <f t="shared" si="9"/>
        <v>261.51202749140896</v>
      </c>
      <c r="G28" s="41">
        <v>2295</v>
      </c>
      <c r="H28" s="243">
        <f t="shared" si="10"/>
        <v>262.88659793814435</v>
      </c>
      <c r="I28" s="131">
        <v>85</v>
      </c>
      <c r="J28" s="41">
        <v>81</v>
      </c>
      <c r="K28" s="88">
        <f t="shared" si="11"/>
        <v>9.2783505154639183</v>
      </c>
    </row>
    <row r="29" spans="1:11" ht="15" x14ac:dyDescent="0.2">
      <c r="A29" s="1" t="s">
        <v>21</v>
      </c>
      <c r="B29" s="4">
        <f>'General Info'!C29</f>
        <v>7719</v>
      </c>
      <c r="C29" s="4">
        <v>69665</v>
      </c>
      <c r="D29" s="86">
        <f t="shared" si="8"/>
        <v>9.0251327892214022</v>
      </c>
      <c r="E29" s="4">
        <v>2308</v>
      </c>
      <c r="F29" s="242">
        <f t="shared" si="9"/>
        <v>299.00246145873814</v>
      </c>
      <c r="G29" s="4">
        <v>4649</v>
      </c>
      <c r="H29" s="242">
        <f t="shared" si="10"/>
        <v>602.28008809431276</v>
      </c>
      <c r="I29" s="129">
        <v>85</v>
      </c>
      <c r="J29" s="4">
        <v>18</v>
      </c>
      <c r="K29" s="86">
        <f t="shared" si="11"/>
        <v>2.3319082782743878</v>
      </c>
    </row>
    <row r="30" spans="1:11" ht="15" x14ac:dyDescent="0.2">
      <c r="A30" s="39" t="s">
        <v>5</v>
      </c>
      <c r="B30" s="169">
        <f>'General Info'!C30</f>
        <v>7448</v>
      </c>
      <c r="C30" s="41">
        <v>57347</v>
      </c>
      <c r="D30" s="88">
        <f t="shared" si="8"/>
        <v>7.6996509129967778</v>
      </c>
      <c r="E30" s="41">
        <v>2393</v>
      </c>
      <c r="F30" s="247">
        <f t="shared" si="9"/>
        <v>321.29430719656284</v>
      </c>
      <c r="G30" s="41">
        <v>3951</v>
      </c>
      <c r="H30" s="243">
        <f t="shared" si="10"/>
        <v>530.47798066595067</v>
      </c>
      <c r="I30" s="131">
        <v>118</v>
      </c>
      <c r="J30" s="41">
        <v>76</v>
      </c>
      <c r="K30" s="88">
        <f t="shared" si="11"/>
        <v>10.204081632653061</v>
      </c>
    </row>
    <row r="31" spans="1:11" ht="15" x14ac:dyDescent="0.2">
      <c r="A31" s="1" t="s">
        <v>22</v>
      </c>
      <c r="B31" s="4">
        <f>'General Info'!C31</f>
        <v>6860</v>
      </c>
      <c r="C31" s="4">
        <v>40019</v>
      </c>
      <c r="D31" s="86">
        <f t="shared" si="8"/>
        <v>5.8336734693877554</v>
      </c>
      <c r="E31" s="4">
        <v>1369</v>
      </c>
      <c r="F31" s="242">
        <f t="shared" si="9"/>
        <v>199.56268221574345</v>
      </c>
      <c r="G31" s="4">
        <v>4711</v>
      </c>
      <c r="H31" s="242">
        <f t="shared" si="10"/>
        <v>686.73469387755108</v>
      </c>
      <c r="I31" s="129">
        <v>189</v>
      </c>
      <c r="J31" s="4">
        <v>51</v>
      </c>
      <c r="K31" s="86">
        <f t="shared" si="11"/>
        <v>7.4344023323615165</v>
      </c>
    </row>
    <row r="32" spans="1:11" ht="15" x14ac:dyDescent="0.2">
      <c r="A32" s="39" t="s">
        <v>8</v>
      </c>
      <c r="B32" s="169">
        <f>'General Info'!C32</f>
        <v>4588</v>
      </c>
      <c r="C32" s="41">
        <v>37136</v>
      </c>
      <c r="D32" s="88">
        <f t="shared" si="8"/>
        <v>8.0941586748038361</v>
      </c>
      <c r="E32" s="41">
        <v>1784</v>
      </c>
      <c r="F32" s="247">
        <f t="shared" si="9"/>
        <v>388.84045335658243</v>
      </c>
      <c r="G32" s="41">
        <v>2387</v>
      </c>
      <c r="H32" s="243">
        <f t="shared" si="10"/>
        <v>520.27027027027032</v>
      </c>
      <c r="I32" s="131">
        <v>13</v>
      </c>
      <c r="J32" s="41">
        <v>35</v>
      </c>
      <c r="K32" s="88">
        <f t="shared" si="11"/>
        <v>7.6285963382737574</v>
      </c>
    </row>
    <row r="33" spans="1:11" ht="15" x14ac:dyDescent="0.2">
      <c r="A33" s="1" t="s">
        <v>13</v>
      </c>
      <c r="B33" s="4">
        <f>'General Info'!C33</f>
        <v>2380</v>
      </c>
      <c r="C33" s="4">
        <v>38914</v>
      </c>
      <c r="D33" s="86">
        <f t="shared" si="8"/>
        <v>16.350420168067227</v>
      </c>
      <c r="E33" s="4">
        <v>2271</v>
      </c>
      <c r="F33" s="242">
        <f t="shared" si="9"/>
        <v>954.20168067226894</v>
      </c>
      <c r="G33" s="4">
        <v>13635</v>
      </c>
      <c r="H33" s="242">
        <f t="shared" si="10"/>
        <v>5728.9915966386552</v>
      </c>
      <c r="I33" s="129">
        <v>110</v>
      </c>
      <c r="J33" s="4">
        <v>47</v>
      </c>
      <c r="K33" s="86">
        <f t="shared" si="11"/>
        <v>19.747899159663866</v>
      </c>
    </row>
    <row r="34" spans="1:11" x14ac:dyDescent="0.2">
      <c r="B34" s="260"/>
      <c r="C34" s="260"/>
      <c r="D34" s="261"/>
      <c r="E34" s="260"/>
      <c r="F34" s="261"/>
      <c r="G34" s="260"/>
      <c r="H34" s="261"/>
      <c r="I34" s="264"/>
      <c r="J34" s="260"/>
      <c r="K34" s="261"/>
    </row>
    <row r="35" spans="1:11" ht="15" x14ac:dyDescent="0.25">
      <c r="A35" s="6" t="s">
        <v>71</v>
      </c>
      <c r="B35" s="15">
        <f>'General Info'!C35</f>
        <v>581381</v>
      </c>
      <c r="C35" s="15">
        <f>SUM(C5:C33)</f>
        <v>2070431</v>
      </c>
      <c r="D35" s="89">
        <f>SUM(C35/B35)</f>
        <v>3.561229211136931</v>
      </c>
      <c r="E35" s="15">
        <f>SUM(E5:E33)</f>
        <v>151550</v>
      </c>
      <c r="F35" s="89">
        <f>SUM(E35/B35)*1000</f>
        <v>260.67243339565618</v>
      </c>
      <c r="G35" s="15">
        <f>SUM(G3:G33)</f>
        <v>257712</v>
      </c>
      <c r="H35" s="89">
        <f>SUM(G35/B35)*1000</f>
        <v>443.27558004131538</v>
      </c>
      <c r="I35" s="15">
        <f>SUM(I3:I33)</f>
        <v>5931</v>
      </c>
      <c r="J35" s="15">
        <f>SUM(J3:J33)</f>
        <v>1823</v>
      </c>
      <c r="K35" s="89">
        <f>SUM(J35/B35)*1000</f>
        <v>3.1356373875307244</v>
      </c>
    </row>
    <row r="37" spans="1:11" x14ac:dyDescent="0.2">
      <c r="A37" s="200"/>
    </row>
    <row r="38" spans="1:11" x14ac:dyDescent="0.2">
      <c r="A38" s="93"/>
    </row>
  </sheetData>
  <mergeCells count="1">
    <mergeCell ref="A1:K1"/>
  </mergeCells>
  <pageMargins left="0.25" right="0.25" top="0.75" bottom="0.75" header="0.3" footer="0.3"/>
  <pageSetup paperSize="5" scale="9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J38"/>
  <sheetViews>
    <sheetView workbookViewId="0">
      <selection activeCell="C32" sqref="C32"/>
    </sheetView>
  </sheetViews>
  <sheetFormatPr defaultRowHeight="12.75" x14ac:dyDescent="0.2"/>
  <cols>
    <col min="1" max="1" width="35.42578125" customWidth="1"/>
    <col min="2" max="2" width="10.5703125" customWidth="1"/>
    <col min="3" max="3" width="14.140625" customWidth="1"/>
    <col min="4" max="4" width="17.42578125" customWidth="1"/>
    <col min="5" max="5" width="17.5703125" customWidth="1"/>
    <col min="6" max="6" width="12" customWidth="1"/>
    <col min="7" max="7" width="14.140625" customWidth="1"/>
    <col min="8" max="8" width="10.85546875" customWidth="1"/>
    <col min="9" max="9" width="10.140625" customWidth="1"/>
    <col min="11" max="11" width="14" customWidth="1"/>
  </cols>
  <sheetData>
    <row r="1" spans="1:8" s="26" customFormat="1" x14ac:dyDescent="0.2">
      <c r="A1" s="100" t="s">
        <v>526</v>
      </c>
      <c r="B1" s="101"/>
      <c r="C1" s="101"/>
      <c r="D1" s="101"/>
      <c r="E1" s="101"/>
      <c r="F1" s="101"/>
      <c r="G1" s="102"/>
    </row>
    <row r="2" spans="1:8" s="91" customFormat="1" ht="40.5" customHeight="1" x14ac:dyDescent="0.2">
      <c r="A2" s="92"/>
      <c r="B2" s="34" t="s">
        <v>135</v>
      </c>
      <c r="C2" s="82" t="s">
        <v>196</v>
      </c>
      <c r="D2" s="82" t="s">
        <v>200</v>
      </c>
      <c r="E2" s="94" t="s">
        <v>198</v>
      </c>
      <c r="F2" s="94" t="s">
        <v>199</v>
      </c>
      <c r="G2" s="94" t="s">
        <v>197</v>
      </c>
    </row>
    <row r="3" spans="1:8" x14ac:dyDescent="0.2">
      <c r="C3" s="4"/>
      <c r="D3" s="4"/>
      <c r="E3" s="4"/>
      <c r="F3" s="4"/>
      <c r="G3" s="4"/>
    </row>
    <row r="4" spans="1:8" x14ac:dyDescent="0.2">
      <c r="A4" s="5" t="s">
        <v>70</v>
      </c>
      <c r="B4" s="14"/>
      <c r="C4" s="10"/>
      <c r="D4" s="10"/>
      <c r="E4" s="10"/>
      <c r="F4" s="10"/>
      <c r="G4" s="10"/>
    </row>
    <row r="5" spans="1:8" ht="15" x14ac:dyDescent="0.2">
      <c r="A5" s="1" t="s">
        <v>10</v>
      </c>
      <c r="B5" s="4">
        <f>'General Info'!C5</f>
        <v>100723</v>
      </c>
      <c r="C5" s="4">
        <v>41076</v>
      </c>
      <c r="D5" s="4">
        <v>0</v>
      </c>
      <c r="E5" s="4">
        <v>124885</v>
      </c>
      <c r="F5" s="4">
        <v>0</v>
      </c>
      <c r="G5" s="256" t="s">
        <v>514</v>
      </c>
      <c r="H5" s="4"/>
    </row>
    <row r="6" spans="1:8" ht="15" x14ac:dyDescent="0.2">
      <c r="A6" s="39" t="s">
        <v>12</v>
      </c>
      <c r="B6" s="169">
        <f>'General Info'!C6</f>
        <v>79601</v>
      </c>
      <c r="C6" s="41">
        <v>41076</v>
      </c>
      <c r="D6" s="41">
        <v>41076</v>
      </c>
      <c r="E6" s="41">
        <v>124885</v>
      </c>
      <c r="F6" s="41">
        <v>120671</v>
      </c>
      <c r="G6" s="41">
        <v>0</v>
      </c>
    </row>
    <row r="7" spans="1:8" ht="15" x14ac:dyDescent="0.2">
      <c r="A7" s="1"/>
      <c r="B7" s="4"/>
      <c r="C7" s="4"/>
      <c r="D7" s="4"/>
      <c r="E7" s="4"/>
      <c r="F7" s="4"/>
      <c r="G7" s="4"/>
    </row>
    <row r="8" spans="1:8" x14ac:dyDescent="0.2">
      <c r="A8" s="5" t="s">
        <v>67</v>
      </c>
      <c r="B8" s="10"/>
      <c r="C8" s="10"/>
      <c r="D8" s="10"/>
      <c r="E8" s="10"/>
      <c r="F8" s="10"/>
      <c r="G8" s="10"/>
    </row>
    <row r="9" spans="1:8" ht="15" x14ac:dyDescent="0.2">
      <c r="A9" s="1" t="s">
        <v>2</v>
      </c>
      <c r="B9" s="4">
        <f>'General Info'!C9</f>
        <v>47058</v>
      </c>
      <c r="C9" s="4">
        <v>41076</v>
      </c>
      <c r="D9" s="4">
        <v>5778</v>
      </c>
      <c r="E9" s="4">
        <v>124885</v>
      </c>
      <c r="F9" s="4">
        <v>0</v>
      </c>
      <c r="G9" s="4">
        <v>0</v>
      </c>
    </row>
    <row r="10" spans="1:8" ht="15" x14ac:dyDescent="0.2">
      <c r="A10" s="39" t="s">
        <v>18</v>
      </c>
      <c r="B10" s="169">
        <f>'General Info'!C10</f>
        <v>41345</v>
      </c>
      <c r="C10" s="41">
        <v>41076</v>
      </c>
      <c r="D10" s="41">
        <v>23690</v>
      </c>
      <c r="E10" s="41">
        <v>124885</v>
      </c>
      <c r="F10" s="41">
        <v>68339</v>
      </c>
      <c r="G10" s="41">
        <v>0</v>
      </c>
    </row>
    <row r="11" spans="1:8" ht="15" x14ac:dyDescent="0.2">
      <c r="A11" s="1" t="s">
        <v>6</v>
      </c>
      <c r="B11" s="4">
        <f>'General Info'!C11</f>
        <v>39472</v>
      </c>
      <c r="C11" s="4">
        <v>41076</v>
      </c>
      <c r="D11" s="4">
        <v>0</v>
      </c>
      <c r="E11" s="4">
        <v>124885</v>
      </c>
      <c r="F11" s="4">
        <v>0</v>
      </c>
      <c r="G11" s="4">
        <v>0</v>
      </c>
    </row>
    <row r="12" spans="1:8" ht="15" x14ac:dyDescent="0.2">
      <c r="A12" s="39" t="s">
        <v>0</v>
      </c>
      <c r="B12" s="169">
        <f>'General Info'!C12</f>
        <v>38031</v>
      </c>
      <c r="C12" s="41">
        <v>41076</v>
      </c>
      <c r="D12" s="41">
        <v>0</v>
      </c>
      <c r="E12" s="41">
        <v>124885</v>
      </c>
      <c r="F12" s="41">
        <v>0</v>
      </c>
      <c r="G12" s="41">
        <v>9</v>
      </c>
    </row>
    <row r="13" spans="1:8" ht="15" x14ac:dyDescent="0.2">
      <c r="A13" s="1" t="s">
        <v>16</v>
      </c>
      <c r="B13" s="4">
        <f>'General Info'!C13</f>
        <v>32096</v>
      </c>
      <c r="C13" s="4">
        <v>41076</v>
      </c>
      <c r="D13" s="4">
        <v>665</v>
      </c>
      <c r="E13" s="4">
        <v>124885</v>
      </c>
      <c r="F13" s="4">
        <v>125</v>
      </c>
      <c r="G13" s="4">
        <v>900</v>
      </c>
    </row>
    <row r="14" spans="1:8" ht="15" x14ac:dyDescent="0.2">
      <c r="A14" s="39" t="s">
        <v>14</v>
      </c>
      <c r="B14" s="169">
        <f>'General Info'!C14</f>
        <v>30518</v>
      </c>
      <c r="C14" s="41">
        <v>41076</v>
      </c>
      <c r="D14" s="41">
        <v>217183</v>
      </c>
      <c r="E14" s="41">
        <v>124885</v>
      </c>
      <c r="F14" s="41">
        <v>837156</v>
      </c>
      <c r="G14" s="41">
        <v>28707</v>
      </c>
    </row>
    <row r="15" spans="1:8" ht="15" x14ac:dyDescent="0.2">
      <c r="A15" s="1"/>
      <c r="B15" s="4"/>
      <c r="C15" s="4"/>
      <c r="D15" s="4"/>
      <c r="E15" s="4"/>
      <c r="F15" s="4"/>
      <c r="G15" s="4"/>
    </row>
    <row r="16" spans="1:8" x14ac:dyDescent="0.2">
      <c r="A16" s="5" t="s">
        <v>68</v>
      </c>
      <c r="B16" s="10"/>
      <c r="C16" s="10"/>
      <c r="D16" s="10"/>
      <c r="E16" s="10"/>
      <c r="F16" s="10"/>
      <c r="G16" s="10"/>
    </row>
    <row r="17" spans="1:10" ht="15" x14ac:dyDescent="0.2">
      <c r="A17" s="1" t="s">
        <v>19</v>
      </c>
      <c r="B17" s="4">
        <f>'General Info'!C17</f>
        <v>23287</v>
      </c>
      <c r="C17" s="4">
        <v>41076</v>
      </c>
      <c r="D17" s="4">
        <v>204432</v>
      </c>
      <c r="E17" s="4">
        <v>124885</v>
      </c>
      <c r="F17" s="4">
        <v>1392225</v>
      </c>
      <c r="G17" s="4">
        <v>59855</v>
      </c>
    </row>
    <row r="18" spans="1:10" ht="15" x14ac:dyDescent="0.2">
      <c r="A18" s="39" t="s">
        <v>20</v>
      </c>
      <c r="B18" s="169">
        <f>'General Info'!C18</f>
        <v>20712</v>
      </c>
      <c r="C18" s="41">
        <v>41076</v>
      </c>
      <c r="D18" s="41">
        <v>57</v>
      </c>
      <c r="E18" s="41">
        <v>124885</v>
      </c>
      <c r="F18" s="41">
        <v>86</v>
      </c>
      <c r="G18" s="41">
        <v>0</v>
      </c>
    </row>
    <row r="19" spans="1:10" ht="15" x14ac:dyDescent="0.2">
      <c r="A19" s="1" t="s">
        <v>11</v>
      </c>
      <c r="B19" s="4">
        <f>'General Info'!C19</f>
        <v>20660</v>
      </c>
      <c r="C19" s="4">
        <v>41076</v>
      </c>
      <c r="D19" s="4">
        <v>0</v>
      </c>
      <c r="E19" s="4">
        <v>124885</v>
      </c>
      <c r="F19" s="4">
        <v>0</v>
      </c>
      <c r="G19" s="4">
        <v>0</v>
      </c>
    </row>
    <row r="20" spans="1:10" ht="15" x14ac:dyDescent="0.2">
      <c r="A20" s="39" t="s">
        <v>3</v>
      </c>
      <c r="B20" s="169">
        <f>'General Info'!C20</f>
        <v>14542</v>
      </c>
      <c r="C20" s="41">
        <v>41076</v>
      </c>
      <c r="D20" s="41">
        <v>0</v>
      </c>
      <c r="E20" s="41">
        <v>124885</v>
      </c>
      <c r="F20" s="41">
        <v>0</v>
      </c>
      <c r="G20" s="41">
        <v>0</v>
      </c>
    </row>
    <row r="21" spans="1:10" ht="15" x14ac:dyDescent="0.2">
      <c r="A21" s="1" t="s">
        <v>4</v>
      </c>
      <c r="B21" s="4">
        <f>'General Info'!C21</f>
        <v>13786</v>
      </c>
      <c r="C21" s="4">
        <v>41076</v>
      </c>
      <c r="D21" s="4">
        <v>0</v>
      </c>
      <c r="E21" s="4">
        <v>124885</v>
      </c>
      <c r="F21" s="4">
        <v>0</v>
      </c>
      <c r="G21" s="256" t="s">
        <v>514</v>
      </c>
      <c r="H21" s="4"/>
    </row>
    <row r="22" spans="1:10" ht="15" x14ac:dyDescent="0.2">
      <c r="A22" s="39" t="s">
        <v>7</v>
      </c>
      <c r="B22" s="169">
        <f>'General Info'!C22</f>
        <v>12562</v>
      </c>
      <c r="C22" s="41">
        <v>41076</v>
      </c>
      <c r="D22" s="41">
        <v>6104</v>
      </c>
      <c r="E22" s="41">
        <v>124885</v>
      </c>
      <c r="F22" s="41">
        <v>50013</v>
      </c>
      <c r="G22" s="41">
        <v>614</v>
      </c>
    </row>
    <row r="23" spans="1:10" ht="15" x14ac:dyDescent="0.2">
      <c r="A23" s="1" t="s">
        <v>1</v>
      </c>
      <c r="B23" s="4">
        <f>'General Info'!C23</f>
        <v>11855</v>
      </c>
      <c r="C23" s="4">
        <v>41076</v>
      </c>
      <c r="D23" s="4">
        <v>0</v>
      </c>
      <c r="E23" s="4">
        <v>124885</v>
      </c>
      <c r="F23" s="4">
        <v>0</v>
      </c>
      <c r="G23" s="4">
        <v>0</v>
      </c>
    </row>
    <row r="24" spans="1:10" x14ac:dyDescent="0.2">
      <c r="A24" s="93"/>
      <c r="B24" s="4"/>
      <c r="C24" s="93"/>
      <c r="D24" s="192"/>
      <c r="E24" s="93"/>
      <c r="F24" s="192"/>
      <c r="G24" s="93"/>
      <c r="H24" s="162"/>
      <c r="I24" s="161"/>
      <c r="J24" s="162"/>
    </row>
    <row r="25" spans="1:10" ht="15" x14ac:dyDescent="0.2">
      <c r="A25" s="151" t="s">
        <v>69</v>
      </c>
      <c r="B25" s="10"/>
      <c r="C25" s="10"/>
      <c r="D25" s="10"/>
      <c r="E25" s="10"/>
      <c r="F25" s="10"/>
      <c r="G25" s="10"/>
    </row>
    <row r="26" spans="1:10" ht="15" x14ac:dyDescent="0.25">
      <c r="A26" s="184" t="s">
        <v>17</v>
      </c>
      <c r="B26" s="169">
        <f>'General Info'!C26</f>
        <v>8763</v>
      </c>
      <c r="C26" s="41">
        <v>41076</v>
      </c>
      <c r="D26" s="41">
        <v>0</v>
      </c>
      <c r="E26" s="41">
        <v>124885</v>
      </c>
      <c r="F26" s="41">
        <v>0</v>
      </c>
      <c r="G26" s="41">
        <v>0</v>
      </c>
    </row>
    <row r="27" spans="1:10" ht="15" x14ac:dyDescent="0.2">
      <c r="A27" s="1" t="s">
        <v>15</v>
      </c>
      <c r="B27" s="4">
        <f>'General Info'!C27</f>
        <v>8645</v>
      </c>
      <c r="C27" s="4">
        <v>41076</v>
      </c>
      <c r="D27" s="4">
        <v>0</v>
      </c>
      <c r="E27" s="4">
        <v>124885</v>
      </c>
      <c r="F27" s="4">
        <v>0</v>
      </c>
      <c r="G27" s="4">
        <v>1268</v>
      </c>
    </row>
    <row r="28" spans="1:10" ht="15" x14ac:dyDescent="0.2">
      <c r="A28" s="39" t="s">
        <v>9</v>
      </c>
      <c r="B28" s="169">
        <f>'General Info'!C28</f>
        <v>8730</v>
      </c>
      <c r="C28" s="41">
        <v>41076</v>
      </c>
      <c r="D28" s="41">
        <v>0</v>
      </c>
      <c r="E28" s="41">
        <v>124885</v>
      </c>
      <c r="F28" s="41">
        <v>0</v>
      </c>
      <c r="G28" s="41">
        <v>0</v>
      </c>
    </row>
    <row r="29" spans="1:10" ht="15" x14ac:dyDescent="0.2">
      <c r="A29" s="1" t="s">
        <v>21</v>
      </c>
      <c r="B29" s="4">
        <f>'General Info'!C29</f>
        <v>7719</v>
      </c>
      <c r="C29" s="4">
        <v>41076</v>
      </c>
      <c r="D29" s="4">
        <v>0</v>
      </c>
      <c r="E29" s="4">
        <v>124885</v>
      </c>
      <c r="F29" s="4">
        <v>0</v>
      </c>
      <c r="G29" s="4">
        <v>0</v>
      </c>
    </row>
    <row r="30" spans="1:10" ht="15" x14ac:dyDescent="0.2">
      <c r="A30" s="39" t="s">
        <v>5</v>
      </c>
      <c r="B30" s="169">
        <f>'General Info'!C30</f>
        <v>7448</v>
      </c>
      <c r="C30" s="41">
        <v>41076</v>
      </c>
      <c r="D30" s="41">
        <v>0</v>
      </c>
      <c r="E30" s="41">
        <v>124885</v>
      </c>
      <c r="F30" s="41">
        <v>0</v>
      </c>
      <c r="G30" s="41">
        <v>0</v>
      </c>
    </row>
    <row r="31" spans="1:10" ht="15" x14ac:dyDescent="0.2">
      <c r="A31" s="1" t="s">
        <v>22</v>
      </c>
      <c r="B31" s="4">
        <f>'General Info'!C31</f>
        <v>6860</v>
      </c>
      <c r="C31" s="4">
        <v>41076</v>
      </c>
      <c r="D31" s="4">
        <v>0</v>
      </c>
      <c r="E31" s="4">
        <v>124885</v>
      </c>
      <c r="F31" s="4">
        <v>0</v>
      </c>
      <c r="G31" s="256" t="s">
        <v>514</v>
      </c>
      <c r="H31" s="4"/>
    </row>
    <row r="32" spans="1:10" ht="15" x14ac:dyDescent="0.2">
      <c r="A32" s="39" t="s">
        <v>8</v>
      </c>
      <c r="B32" s="169">
        <f>'General Info'!C32</f>
        <v>4588</v>
      </c>
      <c r="C32" s="41">
        <v>41076</v>
      </c>
      <c r="D32" s="41">
        <v>0</v>
      </c>
      <c r="E32" s="41">
        <v>124885</v>
      </c>
      <c r="F32" s="41">
        <v>0</v>
      </c>
      <c r="G32" s="41">
        <v>0</v>
      </c>
    </row>
    <row r="33" spans="1:7" ht="15" x14ac:dyDescent="0.2">
      <c r="A33" s="1" t="s">
        <v>13</v>
      </c>
      <c r="B33" s="4">
        <f>'General Info'!C33</f>
        <v>2380</v>
      </c>
      <c r="C33" s="4">
        <v>41076</v>
      </c>
      <c r="D33" s="4">
        <v>3728</v>
      </c>
      <c r="E33" s="4">
        <v>124885</v>
      </c>
      <c r="F33" s="4">
        <v>8697</v>
      </c>
      <c r="G33" s="4">
        <v>746</v>
      </c>
    </row>
    <row r="34" spans="1:7" x14ac:dyDescent="0.2">
      <c r="B34" s="4"/>
      <c r="C34" s="4"/>
      <c r="D34" s="4"/>
      <c r="E34" s="4"/>
      <c r="F34" s="4"/>
      <c r="G34" s="4"/>
    </row>
    <row r="35" spans="1:7" ht="15" x14ac:dyDescent="0.25">
      <c r="A35" s="6" t="s">
        <v>71</v>
      </c>
      <c r="B35" s="15">
        <f>'General Info'!C35</f>
        <v>581381</v>
      </c>
      <c r="C35" s="15">
        <v>41076</v>
      </c>
      <c r="D35" s="15">
        <f>SUM(D5:D33)</f>
        <v>502713</v>
      </c>
      <c r="E35" s="15">
        <v>124885</v>
      </c>
      <c r="F35" s="15">
        <f>SUM(F5:F33)</f>
        <v>2477312</v>
      </c>
      <c r="G35" s="15">
        <f>SUM(G5:G33)</f>
        <v>92099</v>
      </c>
    </row>
    <row r="37" spans="1:7" x14ac:dyDescent="0.2">
      <c r="A37" s="2" t="s">
        <v>201</v>
      </c>
    </row>
    <row r="38" spans="1:7" x14ac:dyDescent="0.2">
      <c r="A38" s="2" t="s">
        <v>202</v>
      </c>
    </row>
  </sheetData>
  <pageMargins left="0.7" right="0.7" top="0.75" bottom="0.75" header="0.3" footer="0.3"/>
  <pageSetup paperSize="5" scale="90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L35"/>
  <sheetViews>
    <sheetView workbookViewId="0">
      <selection activeCell="G25" sqref="G25"/>
    </sheetView>
  </sheetViews>
  <sheetFormatPr defaultRowHeight="12.75" x14ac:dyDescent="0.2"/>
  <cols>
    <col min="1" max="1" width="35.7109375" customWidth="1"/>
    <col min="2" max="3" width="10.5703125" customWidth="1"/>
    <col min="4" max="4" width="11.42578125" style="86" customWidth="1"/>
    <col min="5" max="5" width="11" customWidth="1"/>
    <col min="6" max="6" width="10.28515625" style="54" customWidth="1"/>
    <col min="7" max="7" width="10.7109375" customWidth="1"/>
    <col min="8" max="8" width="10.85546875" style="54" customWidth="1"/>
    <col min="9" max="9" width="13.42578125" customWidth="1"/>
    <col min="10" max="10" width="13.7109375" customWidth="1"/>
    <col min="11" max="11" width="14.42578125" style="16" customWidth="1"/>
  </cols>
  <sheetData>
    <row r="1" spans="1:12" x14ac:dyDescent="0.2">
      <c r="A1" s="265" t="s">
        <v>527</v>
      </c>
      <c r="B1" s="281"/>
      <c r="C1" s="281"/>
      <c r="D1" s="281"/>
      <c r="E1" s="281"/>
      <c r="F1" s="281"/>
      <c r="G1" s="281"/>
      <c r="H1" s="281"/>
      <c r="I1" s="281"/>
      <c r="J1" s="281"/>
      <c r="K1" s="267"/>
    </row>
    <row r="2" spans="1:12" ht="42.75" customHeight="1" x14ac:dyDescent="0.2">
      <c r="A2" s="67"/>
      <c r="B2" s="95" t="s">
        <v>135</v>
      </c>
      <c r="C2" s="82" t="s">
        <v>203</v>
      </c>
      <c r="D2" s="84" t="s">
        <v>204</v>
      </c>
      <c r="E2" s="84" t="s">
        <v>205</v>
      </c>
      <c r="F2" s="83" t="s">
        <v>206</v>
      </c>
      <c r="G2" s="82" t="s">
        <v>207</v>
      </c>
      <c r="H2" s="83" t="s">
        <v>208</v>
      </c>
      <c r="I2" s="82" t="s">
        <v>209</v>
      </c>
      <c r="J2" s="82" t="s">
        <v>210</v>
      </c>
      <c r="K2" s="85" t="s">
        <v>211</v>
      </c>
    </row>
    <row r="3" spans="1:12" x14ac:dyDescent="0.2">
      <c r="C3" s="4"/>
      <c r="E3" s="4"/>
      <c r="G3" s="4"/>
      <c r="I3" s="4"/>
      <c r="J3" s="4"/>
    </row>
    <row r="4" spans="1:12" x14ac:dyDescent="0.2">
      <c r="A4" s="5" t="s">
        <v>70</v>
      </c>
      <c r="B4" s="14"/>
      <c r="C4" s="10"/>
      <c r="D4" s="87"/>
      <c r="E4" s="10"/>
      <c r="F4" s="57"/>
      <c r="G4" s="10"/>
      <c r="H4" s="57"/>
      <c r="I4" s="10"/>
      <c r="J4" s="10"/>
      <c r="K4" s="17"/>
    </row>
    <row r="5" spans="1:12" ht="15" x14ac:dyDescent="0.2">
      <c r="A5" s="1" t="s">
        <v>10</v>
      </c>
      <c r="B5" s="4">
        <f>'General Info'!C5</f>
        <v>100723</v>
      </c>
      <c r="C5" s="4">
        <v>610962</v>
      </c>
      <c r="D5" s="86">
        <f>C5/B5</f>
        <v>6.0657645225023087</v>
      </c>
      <c r="E5" s="4">
        <v>165076</v>
      </c>
      <c r="F5" s="54">
        <f>SUM(E5/C5)</f>
        <v>0.27019029006714002</v>
      </c>
      <c r="G5" s="4">
        <v>231543</v>
      </c>
      <c r="H5" s="54">
        <f>G5/C5</f>
        <v>0.37898101682265017</v>
      </c>
      <c r="I5" s="4">
        <v>3830</v>
      </c>
      <c r="J5" s="4">
        <v>1866</v>
      </c>
      <c r="K5" s="16">
        <f>I5/J5</f>
        <v>2.052518756698821</v>
      </c>
      <c r="L5" t="s">
        <v>532</v>
      </c>
    </row>
    <row r="6" spans="1:12" ht="15" x14ac:dyDescent="0.2">
      <c r="A6" s="39" t="s">
        <v>12</v>
      </c>
      <c r="B6" s="169">
        <f>'General Info'!C6</f>
        <v>79601</v>
      </c>
      <c r="C6" s="41">
        <v>547781</v>
      </c>
      <c r="D6" s="88">
        <f>C6/B6</f>
        <v>6.8815844022060029</v>
      </c>
      <c r="E6" s="41">
        <v>129525</v>
      </c>
      <c r="F6" s="56">
        <f>SUM(E6/C6)</f>
        <v>0.23645398434775941</v>
      </c>
      <c r="G6" s="41">
        <v>191640</v>
      </c>
      <c r="H6" s="156">
        <f>G6/C6</f>
        <v>0.34984784065164726</v>
      </c>
      <c r="I6" s="41">
        <v>2132</v>
      </c>
      <c r="J6" s="41">
        <v>4045</v>
      </c>
      <c r="K6" s="42">
        <f>I6/J6</f>
        <v>0.52707045735475899</v>
      </c>
      <c r="L6" t="s">
        <v>532</v>
      </c>
    </row>
    <row r="7" spans="1:12" ht="15" x14ac:dyDescent="0.2">
      <c r="A7" s="1"/>
      <c r="B7" s="4"/>
      <c r="C7" s="4"/>
      <c r="E7" s="4"/>
      <c r="G7" s="4"/>
      <c r="I7" s="4"/>
      <c r="J7" s="4"/>
    </row>
    <row r="8" spans="1:12" x14ac:dyDescent="0.2">
      <c r="A8" s="5" t="s">
        <v>67</v>
      </c>
      <c r="B8" s="10"/>
      <c r="C8" s="10"/>
      <c r="D8" s="87"/>
      <c r="E8" s="10"/>
      <c r="F8" s="57"/>
      <c r="G8" s="10"/>
      <c r="H8" s="57"/>
      <c r="I8" s="10"/>
      <c r="J8" s="10"/>
      <c r="K8" s="17"/>
    </row>
    <row r="9" spans="1:12" ht="15" x14ac:dyDescent="0.2">
      <c r="A9" s="1" t="s">
        <v>2</v>
      </c>
      <c r="B9" s="4">
        <f>'General Info'!C9</f>
        <v>47058</v>
      </c>
      <c r="C9" s="4">
        <v>375064</v>
      </c>
      <c r="D9" s="86">
        <f t="shared" ref="D9:D14" si="0">C9/B9</f>
        <v>7.9702494793658891</v>
      </c>
      <c r="E9" s="4">
        <v>85608</v>
      </c>
      <c r="F9" s="54">
        <f t="shared" ref="F9:F14" si="1">SUM(E9/C9)</f>
        <v>0.22824904549623531</v>
      </c>
      <c r="G9" s="4">
        <v>162595</v>
      </c>
      <c r="H9" s="54">
        <f t="shared" ref="H9:H14" si="2">G9/C9</f>
        <v>0.43351268050252756</v>
      </c>
      <c r="I9" s="4">
        <v>893</v>
      </c>
      <c r="J9" s="4">
        <v>3390</v>
      </c>
      <c r="K9" s="16">
        <f t="shared" ref="K9:K14" si="3">I9/J9</f>
        <v>0.26342182890855459</v>
      </c>
      <c r="L9" t="s">
        <v>532</v>
      </c>
    </row>
    <row r="10" spans="1:12" ht="15" x14ac:dyDescent="0.2">
      <c r="A10" s="39" t="s">
        <v>18</v>
      </c>
      <c r="B10" s="169">
        <f>'General Info'!C10</f>
        <v>41345</v>
      </c>
      <c r="C10" s="41">
        <v>254331</v>
      </c>
      <c r="D10" s="88">
        <f t="shared" si="0"/>
        <v>6.1514330632482768</v>
      </c>
      <c r="E10" s="41">
        <v>61073</v>
      </c>
      <c r="F10" s="56">
        <f t="shared" si="1"/>
        <v>0.24013195402841178</v>
      </c>
      <c r="G10" s="41">
        <v>94268</v>
      </c>
      <c r="H10" s="156">
        <f t="shared" si="2"/>
        <v>0.3706508447652862</v>
      </c>
      <c r="I10" s="41">
        <v>2132</v>
      </c>
      <c r="J10" s="41">
        <v>1955</v>
      </c>
      <c r="K10" s="42">
        <f t="shared" si="3"/>
        <v>1.090537084398977</v>
      </c>
      <c r="L10" t="s">
        <v>532</v>
      </c>
    </row>
    <row r="11" spans="1:12" ht="15" x14ac:dyDescent="0.2">
      <c r="A11" s="1" t="s">
        <v>6</v>
      </c>
      <c r="B11" s="4">
        <f>'General Info'!C11</f>
        <v>39472</v>
      </c>
      <c r="C11" s="4">
        <v>148838</v>
      </c>
      <c r="D11" s="86">
        <f t="shared" si="0"/>
        <v>3.7707235508715038</v>
      </c>
      <c r="E11" s="4">
        <v>48157</v>
      </c>
      <c r="F11" s="54">
        <f t="shared" si="1"/>
        <v>0.3235531248740241</v>
      </c>
      <c r="G11" s="4">
        <v>55278</v>
      </c>
      <c r="H11" s="54">
        <f t="shared" si="2"/>
        <v>0.37139708945296229</v>
      </c>
      <c r="I11" s="4">
        <v>1078</v>
      </c>
      <c r="J11" s="4">
        <v>704</v>
      </c>
      <c r="K11" s="16">
        <f t="shared" si="3"/>
        <v>1.53125</v>
      </c>
      <c r="L11" t="s">
        <v>532</v>
      </c>
    </row>
    <row r="12" spans="1:12" ht="15" x14ac:dyDescent="0.2">
      <c r="A12" s="39" t="s">
        <v>0</v>
      </c>
      <c r="B12" s="169">
        <f>'General Info'!C12</f>
        <v>38031</v>
      </c>
      <c r="C12" s="41">
        <v>268546</v>
      </c>
      <c r="D12" s="88">
        <f t="shared" si="0"/>
        <v>7.0612395151323923</v>
      </c>
      <c r="E12" s="41">
        <v>78128</v>
      </c>
      <c r="F12" s="56">
        <f t="shared" si="1"/>
        <v>0.290929673128626</v>
      </c>
      <c r="G12" s="41">
        <v>113480</v>
      </c>
      <c r="H12" s="156">
        <f t="shared" si="2"/>
        <v>0.42257192436305141</v>
      </c>
      <c r="I12" s="41">
        <v>1326</v>
      </c>
      <c r="J12" s="41">
        <v>1480</v>
      </c>
      <c r="K12" s="42">
        <f t="shared" si="3"/>
        <v>0.8959459459459459</v>
      </c>
      <c r="L12" t="s">
        <v>532</v>
      </c>
    </row>
    <row r="13" spans="1:12" ht="15" x14ac:dyDescent="0.2">
      <c r="A13" s="1" t="s">
        <v>16</v>
      </c>
      <c r="B13" s="4">
        <f>'General Info'!C13</f>
        <v>32096</v>
      </c>
      <c r="C13" s="4">
        <v>308723</v>
      </c>
      <c r="D13" s="86">
        <f t="shared" si="0"/>
        <v>9.6187375373878368</v>
      </c>
      <c r="E13" s="4">
        <v>78693</v>
      </c>
      <c r="F13" s="54">
        <f t="shared" si="1"/>
        <v>0.25489840407096331</v>
      </c>
      <c r="G13" s="4">
        <v>100459</v>
      </c>
      <c r="H13" s="54">
        <f t="shared" si="2"/>
        <v>0.32540173553638696</v>
      </c>
      <c r="I13" s="4">
        <v>3175</v>
      </c>
      <c r="J13" s="4">
        <v>1409</v>
      </c>
      <c r="K13" s="16">
        <f t="shared" si="3"/>
        <v>2.2533711852377571</v>
      </c>
      <c r="L13" t="s">
        <v>532</v>
      </c>
    </row>
    <row r="14" spans="1:12" ht="15" x14ac:dyDescent="0.2">
      <c r="A14" s="39" t="s">
        <v>14</v>
      </c>
      <c r="B14" s="169">
        <f>'General Info'!C14</f>
        <v>30518</v>
      </c>
      <c r="C14" s="41">
        <v>380829</v>
      </c>
      <c r="D14" s="88">
        <f t="shared" si="0"/>
        <v>12.478832164624157</v>
      </c>
      <c r="E14" s="41">
        <v>62964</v>
      </c>
      <c r="F14" s="56">
        <f t="shared" si="1"/>
        <v>0.165334047564655</v>
      </c>
      <c r="G14" s="41">
        <v>173900</v>
      </c>
      <c r="H14" s="156">
        <f t="shared" si="2"/>
        <v>0.45663539278783916</v>
      </c>
      <c r="I14" s="41">
        <v>1916</v>
      </c>
      <c r="J14" s="41">
        <v>2865</v>
      </c>
      <c r="K14" s="42">
        <f t="shared" si="3"/>
        <v>0.66876090750436301</v>
      </c>
      <c r="L14" t="s">
        <v>532</v>
      </c>
    </row>
    <row r="15" spans="1:12" ht="15" x14ac:dyDescent="0.2">
      <c r="A15" s="1"/>
      <c r="B15" s="4"/>
      <c r="C15" s="4"/>
      <c r="E15" s="4"/>
      <c r="G15" s="4"/>
      <c r="I15" s="4"/>
      <c r="J15" s="4"/>
    </row>
    <row r="16" spans="1:12" x14ac:dyDescent="0.2">
      <c r="A16" s="5" t="s">
        <v>68</v>
      </c>
      <c r="B16" s="10"/>
      <c r="C16" s="10"/>
      <c r="D16" s="87"/>
      <c r="E16" s="10"/>
      <c r="F16" s="57"/>
      <c r="G16" s="10"/>
      <c r="H16" s="57"/>
      <c r="I16" s="10"/>
      <c r="J16" s="10"/>
      <c r="K16" s="17"/>
    </row>
    <row r="17" spans="1:12" ht="15" x14ac:dyDescent="0.2">
      <c r="A17" s="1" t="s">
        <v>19</v>
      </c>
      <c r="B17" s="4">
        <f>'General Info'!C17</f>
        <v>23287</v>
      </c>
      <c r="C17" s="4">
        <v>320582</v>
      </c>
      <c r="D17" s="86">
        <f t="shared" ref="D17:D23" si="4">C17/B17</f>
        <v>13.766565036286339</v>
      </c>
      <c r="E17" s="4">
        <v>84148</v>
      </c>
      <c r="F17" s="54">
        <f t="shared" ref="F17:F23" si="5">SUM(E17/C17)</f>
        <v>0.26248510521489044</v>
      </c>
      <c r="G17" s="4">
        <v>117902</v>
      </c>
      <c r="H17" s="54">
        <f t="shared" ref="H17:H23" si="6">G17/C17</f>
        <v>0.36777485947433108</v>
      </c>
      <c r="I17" s="4">
        <v>1032</v>
      </c>
      <c r="J17" s="4">
        <v>2531</v>
      </c>
      <c r="K17" s="16">
        <f t="shared" ref="K17:K23" si="7">I17/J17</f>
        <v>0.40774397471355195</v>
      </c>
      <c r="L17" t="s">
        <v>532</v>
      </c>
    </row>
    <row r="18" spans="1:12" ht="15" x14ac:dyDescent="0.2">
      <c r="A18" s="39" t="s">
        <v>20</v>
      </c>
      <c r="B18" s="169">
        <f>'General Info'!C18</f>
        <v>20712</v>
      </c>
      <c r="C18" s="41">
        <v>138371</v>
      </c>
      <c r="D18" s="88">
        <f t="shared" si="4"/>
        <v>6.6807164928543843</v>
      </c>
      <c r="E18" s="41">
        <v>34128</v>
      </c>
      <c r="F18" s="56">
        <f t="shared" si="5"/>
        <v>0.24664127598991117</v>
      </c>
      <c r="G18" s="41">
        <v>61013</v>
      </c>
      <c r="H18" s="156">
        <f t="shared" si="6"/>
        <v>0.44093776875212293</v>
      </c>
      <c r="I18" s="41">
        <v>640</v>
      </c>
      <c r="J18" s="41">
        <v>151</v>
      </c>
      <c r="K18" s="42">
        <f t="shared" si="7"/>
        <v>4.2384105960264904</v>
      </c>
      <c r="L18" t="s">
        <v>532</v>
      </c>
    </row>
    <row r="19" spans="1:12" ht="15" x14ac:dyDescent="0.2">
      <c r="A19" s="1" t="s">
        <v>11</v>
      </c>
      <c r="B19" s="4">
        <f>'General Info'!C19</f>
        <v>20660</v>
      </c>
      <c r="C19" s="4">
        <v>221638</v>
      </c>
      <c r="D19" s="86">
        <f t="shared" si="4"/>
        <v>10.727879961277832</v>
      </c>
      <c r="E19" s="4">
        <v>53210</v>
      </c>
      <c r="F19" s="54">
        <f t="shared" si="5"/>
        <v>0.24007616022523215</v>
      </c>
      <c r="G19" s="4">
        <v>111255</v>
      </c>
      <c r="H19" s="54">
        <f t="shared" si="6"/>
        <v>0.50196717169438454</v>
      </c>
      <c r="I19" s="4">
        <v>1374</v>
      </c>
      <c r="J19" s="4">
        <v>1501</v>
      </c>
      <c r="K19" s="16">
        <f t="shared" si="7"/>
        <v>0.91538974017321784</v>
      </c>
      <c r="L19" t="s">
        <v>532</v>
      </c>
    </row>
    <row r="20" spans="1:12" ht="15" x14ac:dyDescent="0.2">
      <c r="A20" s="39" t="s">
        <v>3</v>
      </c>
      <c r="B20" s="169">
        <f>'General Info'!C20</f>
        <v>14542</v>
      </c>
      <c r="C20" s="41">
        <v>64017</v>
      </c>
      <c r="D20" s="88">
        <f t="shared" si="4"/>
        <v>4.4022142758905236</v>
      </c>
      <c r="E20" s="41">
        <v>18929</v>
      </c>
      <c r="F20" s="56">
        <f t="shared" si="5"/>
        <v>0.29568708311854663</v>
      </c>
      <c r="G20" s="41">
        <v>20967</v>
      </c>
      <c r="H20" s="156">
        <f t="shared" si="6"/>
        <v>0.32752237686864427</v>
      </c>
      <c r="I20" s="41">
        <v>1088</v>
      </c>
      <c r="J20" s="41">
        <v>2001</v>
      </c>
      <c r="K20" s="42">
        <f t="shared" si="7"/>
        <v>0.54372813593203395</v>
      </c>
      <c r="L20" t="s">
        <v>532</v>
      </c>
    </row>
    <row r="21" spans="1:12" ht="15" x14ac:dyDescent="0.2">
      <c r="A21" s="1" t="s">
        <v>4</v>
      </c>
      <c r="B21" s="4">
        <f>'General Info'!C21</f>
        <v>13786</v>
      </c>
      <c r="C21" s="4">
        <v>85040</v>
      </c>
      <c r="D21" s="86">
        <f t="shared" si="4"/>
        <v>6.168576817060786</v>
      </c>
      <c r="E21" s="4">
        <v>20627</v>
      </c>
      <c r="F21" s="54">
        <f t="shared" si="5"/>
        <v>0.24255644402634055</v>
      </c>
      <c r="G21" s="4">
        <v>33875</v>
      </c>
      <c r="H21" s="54">
        <f t="shared" si="6"/>
        <v>0.39834195672624645</v>
      </c>
      <c r="I21" s="4">
        <v>939</v>
      </c>
      <c r="J21" s="4">
        <v>1997</v>
      </c>
      <c r="K21" s="16">
        <f t="shared" si="7"/>
        <v>0.47020530796194293</v>
      </c>
      <c r="L21" t="s">
        <v>532</v>
      </c>
    </row>
    <row r="22" spans="1:12" ht="15" x14ac:dyDescent="0.2">
      <c r="A22" s="39" t="s">
        <v>7</v>
      </c>
      <c r="B22" s="169">
        <f>'General Info'!C22</f>
        <v>12562</v>
      </c>
      <c r="C22" s="41">
        <v>62961</v>
      </c>
      <c r="D22" s="88">
        <f t="shared" si="4"/>
        <v>5.0120203789205542</v>
      </c>
      <c r="E22" s="41">
        <v>16413</v>
      </c>
      <c r="F22" s="56">
        <f t="shared" si="5"/>
        <v>0.26068518606756563</v>
      </c>
      <c r="G22" s="41">
        <v>24470</v>
      </c>
      <c r="H22" s="156">
        <f t="shared" si="6"/>
        <v>0.38865329330855608</v>
      </c>
      <c r="I22" s="41">
        <v>678</v>
      </c>
      <c r="J22" s="41">
        <v>736</v>
      </c>
      <c r="K22" s="42">
        <f t="shared" si="7"/>
        <v>0.92119565217391308</v>
      </c>
      <c r="L22" t="s">
        <v>532</v>
      </c>
    </row>
    <row r="23" spans="1:12" ht="15" x14ac:dyDescent="0.2">
      <c r="A23" s="1" t="s">
        <v>1</v>
      </c>
      <c r="B23" s="4">
        <f>'General Info'!C23</f>
        <v>11855</v>
      </c>
      <c r="C23" s="4">
        <v>102630</v>
      </c>
      <c r="D23" s="86">
        <f t="shared" si="4"/>
        <v>8.657106706031211</v>
      </c>
      <c r="E23" s="4">
        <v>29695</v>
      </c>
      <c r="F23" s="54">
        <f t="shared" si="5"/>
        <v>0.28934034882587939</v>
      </c>
      <c r="G23" s="4">
        <v>43849</v>
      </c>
      <c r="H23" s="54">
        <f t="shared" si="6"/>
        <v>0.42725323979343272</v>
      </c>
      <c r="I23" s="4">
        <v>1295</v>
      </c>
      <c r="J23" s="4">
        <v>1097</v>
      </c>
      <c r="K23" s="16">
        <f t="shared" si="7"/>
        <v>1.1804922515952598</v>
      </c>
      <c r="L23" t="s">
        <v>532</v>
      </c>
    </row>
    <row r="24" spans="1:12" x14ac:dyDescent="0.2">
      <c r="B24" s="4"/>
    </row>
    <row r="25" spans="1:12" ht="15" x14ac:dyDescent="0.2">
      <c r="A25" s="151" t="s">
        <v>69</v>
      </c>
      <c r="B25" s="10"/>
      <c r="C25" s="158"/>
      <c r="D25" s="159"/>
      <c r="E25" s="158"/>
      <c r="F25" s="163"/>
      <c r="G25" s="158"/>
      <c r="H25" s="163"/>
      <c r="I25" s="158"/>
      <c r="J25" s="158"/>
      <c r="K25" s="164"/>
    </row>
    <row r="26" spans="1:12" ht="15" x14ac:dyDescent="0.25">
      <c r="A26" s="184" t="s">
        <v>17</v>
      </c>
      <c r="B26" s="169">
        <f>'General Info'!C26</f>
        <v>8763</v>
      </c>
      <c r="C26" s="41">
        <v>124621</v>
      </c>
      <c r="D26" s="88">
        <f t="shared" ref="D26:D33" si="8">C26/B26</f>
        <v>14.221271254136711</v>
      </c>
      <c r="E26" s="41">
        <v>23921</v>
      </c>
      <c r="F26" s="56">
        <f t="shared" ref="F26:F33" si="9">SUM(E26/C26)</f>
        <v>0.19194999237688673</v>
      </c>
      <c r="G26" s="41">
        <v>35898</v>
      </c>
      <c r="H26" s="156">
        <f t="shared" ref="H26:H33" si="10">G26/C26</f>
        <v>0.28805739000649971</v>
      </c>
      <c r="I26" s="41">
        <v>654</v>
      </c>
      <c r="J26" s="41">
        <v>205</v>
      </c>
      <c r="K26" s="42">
        <f t="shared" ref="K26:K33" si="11">I26/J26</f>
        <v>3.1902439024390246</v>
      </c>
      <c r="L26" t="s">
        <v>532</v>
      </c>
    </row>
    <row r="27" spans="1:12" ht="15" x14ac:dyDescent="0.2">
      <c r="A27" s="1" t="s">
        <v>15</v>
      </c>
      <c r="B27" s="4">
        <f>'General Info'!C27</f>
        <v>8645</v>
      </c>
      <c r="C27" s="4">
        <v>50052</v>
      </c>
      <c r="D27" s="86">
        <f t="shared" si="8"/>
        <v>5.7897050318102954</v>
      </c>
      <c r="E27" s="4">
        <v>16016</v>
      </c>
      <c r="F27" s="54">
        <f t="shared" si="9"/>
        <v>0.31998721329816993</v>
      </c>
      <c r="G27" s="4">
        <v>11262</v>
      </c>
      <c r="H27" s="54">
        <f t="shared" si="10"/>
        <v>0.22500599376648286</v>
      </c>
      <c r="I27" s="4">
        <v>423</v>
      </c>
      <c r="J27" s="4">
        <v>588</v>
      </c>
      <c r="K27" s="16">
        <f t="shared" si="11"/>
        <v>0.71938775510204078</v>
      </c>
      <c r="L27" t="s">
        <v>532</v>
      </c>
    </row>
    <row r="28" spans="1:12" ht="15" x14ac:dyDescent="0.2">
      <c r="A28" s="39" t="s">
        <v>9</v>
      </c>
      <c r="B28" s="169">
        <f>'General Info'!C28</f>
        <v>8730</v>
      </c>
      <c r="C28" s="41">
        <v>75676</v>
      </c>
      <c r="D28" s="88">
        <f t="shared" si="8"/>
        <v>8.6684994272623133</v>
      </c>
      <c r="E28" s="41">
        <v>22176</v>
      </c>
      <c r="F28" s="56">
        <f t="shared" si="9"/>
        <v>0.29303874411966807</v>
      </c>
      <c r="G28" s="41">
        <v>24102</v>
      </c>
      <c r="H28" s="156">
        <f t="shared" si="10"/>
        <v>0.31848934933136003</v>
      </c>
      <c r="I28" s="41">
        <v>842</v>
      </c>
      <c r="J28" s="41">
        <v>1174</v>
      </c>
      <c r="K28" s="42">
        <f t="shared" si="11"/>
        <v>0.717206132879046</v>
      </c>
      <c r="L28" t="s">
        <v>532</v>
      </c>
    </row>
    <row r="29" spans="1:12" ht="15" x14ac:dyDescent="0.2">
      <c r="A29" s="1" t="s">
        <v>21</v>
      </c>
      <c r="B29" s="4">
        <f>'General Info'!C29</f>
        <v>7719</v>
      </c>
      <c r="C29" s="4">
        <v>58489</v>
      </c>
      <c r="D29" s="86">
        <f t="shared" si="8"/>
        <v>7.5772768493328151</v>
      </c>
      <c r="E29" s="4">
        <v>13280</v>
      </c>
      <c r="F29" s="54">
        <f t="shared" si="9"/>
        <v>0.22705124040417857</v>
      </c>
      <c r="G29" s="4">
        <v>24812</v>
      </c>
      <c r="H29" s="54">
        <f t="shared" si="10"/>
        <v>0.42421651934551796</v>
      </c>
      <c r="I29" s="4">
        <v>518</v>
      </c>
      <c r="J29" s="4">
        <v>263</v>
      </c>
      <c r="K29" s="16">
        <f t="shared" si="11"/>
        <v>1.9695817490494296</v>
      </c>
      <c r="L29" t="s">
        <v>532</v>
      </c>
    </row>
    <row r="30" spans="1:12" ht="15" x14ac:dyDescent="0.2">
      <c r="A30" s="39" t="s">
        <v>5</v>
      </c>
      <c r="B30" s="169">
        <f>'General Info'!C30</f>
        <v>7448</v>
      </c>
      <c r="C30" s="41">
        <v>43776</v>
      </c>
      <c r="D30" s="88">
        <f t="shared" si="8"/>
        <v>5.8775510204081636</v>
      </c>
      <c r="E30" s="41">
        <v>8185</v>
      </c>
      <c r="F30" s="56">
        <f t="shared" si="9"/>
        <v>0.18697459795321639</v>
      </c>
      <c r="G30" s="41">
        <v>18781</v>
      </c>
      <c r="H30" s="156">
        <f t="shared" si="10"/>
        <v>0.42902503654970758</v>
      </c>
      <c r="I30" s="41">
        <v>534</v>
      </c>
      <c r="J30" s="41">
        <v>635</v>
      </c>
      <c r="K30" s="42">
        <f t="shared" si="11"/>
        <v>0.8409448818897638</v>
      </c>
      <c r="L30" t="s">
        <v>532</v>
      </c>
    </row>
    <row r="31" spans="1:12" ht="15" x14ac:dyDescent="0.2">
      <c r="A31" s="1" t="s">
        <v>22</v>
      </c>
      <c r="B31" s="4">
        <f>'General Info'!C31</f>
        <v>6860</v>
      </c>
      <c r="C31" s="4">
        <v>35927</v>
      </c>
      <c r="D31" s="86">
        <f t="shared" si="8"/>
        <v>5.2371720116618077</v>
      </c>
      <c r="E31" s="4">
        <v>11187</v>
      </c>
      <c r="F31" s="54">
        <f t="shared" si="9"/>
        <v>0.31138141230829181</v>
      </c>
      <c r="G31" s="4">
        <v>11414</v>
      </c>
      <c r="H31" s="54">
        <f t="shared" si="10"/>
        <v>0.31769978010966682</v>
      </c>
      <c r="I31" s="4">
        <v>613</v>
      </c>
      <c r="J31" s="4">
        <v>536</v>
      </c>
      <c r="K31" s="16">
        <f t="shared" si="11"/>
        <v>1.1436567164179106</v>
      </c>
      <c r="L31" t="s">
        <v>532</v>
      </c>
    </row>
    <row r="32" spans="1:12" ht="15" x14ac:dyDescent="0.2">
      <c r="A32" s="39" t="s">
        <v>8</v>
      </c>
      <c r="B32" s="169">
        <f>'General Info'!C32</f>
        <v>4588</v>
      </c>
      <c r="C32" s="41">
        <v>25710</v>
      </c>
      <c r="D32" s="88">
        <f t="shared" si="8"/>
        <v>5.6037489102005233</v>
      </c>
      <c r="E32" s="41">
        <v>4980</v>
      </c>
      <c r="F32" s="56">
        <f t="shared" si="9"/>
        <v>0.19369894982497082</v>
      </c>
      <c r="G32" s="41">
        <v>7074</v>
      </c>
      <c r="H32" s="156">
        <f t="shared" si="10"/>
        <v>0.27514585764294047</v>
      </c>
      <c r="I32" s="41">
        <v>600</v>
      </c>
      <c r="J32" s="41">
        <v>148</v>
      </c>
      <c r="K32" s="42">
        <f t="shared" si="11"/>
        <v>4.0540540540540544</v>
      </c>
      <c r="L32" t="s">
        <v>532</v>
      </c>
    </row>
    <row r="33" spans="1:12" ht="15" x14ac:dyDescent="0.2">
      <c r="A33" s="1" t="s">
        <v>13</v>
      </c>
      <c r="B33" s="4">
        <f>'General Info'!C33</f>
        <v>2380</v>
      </c>
      <c r="C33" s="4">
        <v>49101</v>
      </c>
      <c r="D33" s="86">
        <f t="shared" si="8"/>
        <v>20.630672268907563</v>
      </c>
      <c r="E33" s="4">
        <v>7939</v>
      </c>
      <c r="F33" s="54">
        <f t="shared" si="9"/>
        <v>0.16168713468157472</v>
      </c>
      <c r="G33" s="4">
        <v>14635</v>
      </c>
      <c r="H33" s="54">
        <f t="shared" si="10"/>
        <v>0.2980591026659335</v>
      </c>
      <c r="I33" s="4">
        <v>1082</v>
      </c>
      <c r="J33" s="4">
        <v>938</v>
      </c>
      <c r="K33" s="16">
        <f t="shared" si="11"/>
        <v>1.1535181236673775</v>
      </c>
      <c r="L33" t="s">
        <v>532</v>
      </c>
    </row>
    <row r="34" spans="1:12" x14ac:dyDescent="0.2">
      <c r="B34" s="4"/>
      <c r="C34" s="4"/>
      <c r="E34" s="4"/>
      <c r="G34" s="4"/>
      <c r="I34" s="4"/>
      <c r="J34" s="4"/>
    </row>
    <row r="35" spans="1:12" ht="15" x14ac:dyDescent="0.25">
      <c r="A35" s="6" t="s">
        <v>71</v>
      </c>
      <c r="B35" s="15">
        <f>'General Info'!C35</f>
        <v>581381</v>
      </c>
      <c r="C35" s="15">
        <f>SUM(C5:C33)</f>
        <v>4353665</v>
      </c>
      <c r="D35" s="89">
        <f>C35/B35</f>
        <v>7.4884886158990405</v>
      </c>
      <c r="E35" s="15">
        <f>SUM(E5:E33)</f>
        <v>1074058</v>
      </c>
      <c r="F35" s="58">
        <f>SUM(E35/C35)</f>
        <v>0.24670203150678796</v>
      </c>
      <c r="G35" s="15">
        <f>SUM(G5:G33)</f>
        <v>1684472</v>
      </c>
      <c r="H35" s="58">
        <f>G35/C35</f>
        <v>0.386908960611347</v>
      </c>
      <c r="I35" s="15">
        <f>SUM(I5:I33)</f>
        <v>28794</v>
      </c>
      <c r="J35" s="15">
        <f>SUM(J5:J33)</f>
        <v>32215</v>
      </c>
      <c r="K35" s="18">
        <f>I35/J35</f>
        <v>0.89380723265559525</v>
      </c>
    </row>
  </sheetData>
  <mergeCells count="1">
    <mergeCell ref="A1:K1"/>
  </mergeCells>
  <pageMargins left="0.25" right="0.25" top="0.75" bottom="0.75" header="0.3" footer="0.3"/>
  <pageSetup paperSize="5" scale="96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36"/>
  <sheetViews>
    <sheetView topLeftCell="A18" workbookViewId="0">
      <selection activeCell="J43" sqref="J43"/>
    </sheetView>
  </sheetViews>
  <sheetFormatPr defaultRowHeight="12.75" x14ac:dyDescent="0.2"/>
  <cols>
    <col min="1" max="1" width="36.85546875" customWidth="1"/>
    <col min="2" max="2" width="10.85546875" customWidth="1"/>
    <col min="3" max="3" width="11.140625" customWidth="1"/>
    <col min="4" max="4" width="12" style="86" customWidth="1"/>
    <col min="5" max="5" width="11.7109375" customWidth="1"/>
    <col min="6" max="6" width="11.140625" style="86" bestFit="1" customWidth="1"/>
    <col min="7" max="7" width="11" customWidth="1"/>
    <col min="8" max="9" width="17.85546875" customWidth="1"/>
    <col min="10" max="10" width="10.5703125" customWidth="1"/>
  </cols>
  <sheetData>
    <row r="1" spans="1:10" s="26" customFormat="1" x14ac:dyDescent="0.2">
      <c r="A1" s="265" t="s">
        <v>528</v>
      </c>
      <c r="B1" s="266"/>
      <c r="C1" s="266"/>
      <c r="D1" s="266"/>
      <c r="E1" s="266"/>
      <c r="F1" s="266"/>
      <c r="G1" s="266"/>
      <c r="H1" s="266"/>
      <c r="I1" s="266"/>
      <c r="J1" s="267"/>
    </row>
    <row r="2" spans="1:10" s="26" customFormat="1" ht="12.75" customHeight="1" x14ac:dyDescent="0.2">
      <c r="A2" s="69"/>
      <c r="B2" s="284" t="s">
        <v>135</v>
      </c>
      <c r="C2" s="282" t="s">
        <v>214</v>
      </c>
      <c r="D2" s="286" t="s">
        <v>220</v>
      </c>
      <c r="E2" s="287" t="s">
        <v>215</v>
      </c>
      <c r="F2" s="286" t="s">
        <v>216</v>
      </c>
      <c r="G2" s="288" t="s">
        <v>219</v>
      </c>
      <c r="H2" s="273" t="s">
        <v>212</v>
      </c>
      <c r="I2" s="274"/>
      <c r="J2" s="282" t="s">
        <v>213</v>
      </c>
    </row>
    <row r="3" spans="1:10" s="26" customFormat="1" ht="28.5" customHeight="1" x14ac:dyDescent="0.2">
      <c r="A3" s="96"/>
      <c r="B3" s="285"/>
      <c r="C3" s="285"/>
      <c r="D3" s="285"/>
      <c r="E3" s="285"/>
      <c r="F3" s="285"/>
      <c r="G3" s="285"/>
      <c r="H3" s="98" t="s">
        <v>217</v>
      </c>
      <c r="I3" s="98" t="s">
        <v>218</v>
      </c>
      <c r="J3" s="283"/>
    </row>
    <row r="4" spans="1:10" x14ac:dyDescent="0.2">
      <c r="C4" s="4"/>
      <c r="E4" s="4"/>
      <c r="G4" s="4"/>
      <c r="H4" s="4"/>
      <c r="I4" s="4"/>
      <c r="J4" s="4"/>
    </row>
    <row r="5" spans="1:10" x14ac:dyDescent="0.2">
      <c r="A5" s="5" t="s">
        <v>70</v>
      </c>
      <c r="B5" s="14"/>
      <c r="C5" s="10"/>
      <c r="D5" s="87"/>
      <c r="E5" s="10"/>
      <c r="F5" s="87"/>
      <c r="G5" s="10"/>
      <c r="H5" s="10"/>
      <c r="I5" s="10"/>
      <c r="J5" s="10"/>
    </row>
    <row r="6" spans="1:10" ht="15" x14ac:dyDescent="0.2">
      <c r="A6" s="1" t="s">
        <v>10</v>
      </c>
      <c r="B6" s="4">
        <f>'General Info'!C5</f>
        <v>100723</v>
      </c>
      <c r="C6" s="4">
        <v>157</v>
      </c>
      <c r="D6" s="86">
        <f>SUM(C6/B6)*1000</f>
        <v>1.5587303793572471</v>
      </c>
      <c r="E6" s="4">
        <v>31002</v>
      </c>
      <c r="F6" s="86">
        <f>SUM(E6/B6)</f>
        <v>0.3077946447186839</v>
      </c>
      <c r="G6" s="4">
        <v>13547</v>
      </c>
      <c r="H6" s="4">
        <v>78</v>
      </c>
      <c r="I6" s="4">
        <v>2</v>
      </c>
      <c r="J6" s="4">
        <f>H6+I6</f>
        <v>80</v>
      </c>
    </row>
    <row r="7" spans="1:10" ht="15" x14ac:dyDescent="0.2">
      <c r="A7" s="39" t="s">
        <v>12</v>
      </c>
      <c r="B7" s="169">
        <f>'General Info'!C6</f>
        <v>79601</v>
      </c>
      <c r="C7" s="41">
        <v>42</v>
      </c>
      <c r="D7" s="88">
        <f>SUM(C7/B7)*1000</f>
        <v>0.5276315624175576</v>
      </c>
      <c r="E7" s="41">
        <v>26612</v>
      </c>
      <c r="F7" s="88">
        <f>SUM(E7/B7)</f>
        <v>0.33431740807276289</v>
      </c>
      <c r="G7" s="45">
        <v>78000</v>
      </c>
      <c r="H7" s="41">
        <v>78</v>
      </c>
      <c r="I7" s="41">
        <v>1</v>
      </c>
      <c r="J7" s="41">
        <f>H7+I7</f>
        <v>79</v>
      </c>
    </row>
    <row r="8" spans="1:10" ht="15" x14ac:dyDescent="0.2">
      <c r="A8" s="1"/>
      <c r="B8" s="4"/>
      <c r="C8" s="4"/>
      <c r="E8" s="4"/>
      <c r="G8" s="4"/>
      <c r="H8" s="4"/>
      <c r="I8" s="4"/>
      <c r="J8" s="4"/>
    </row>
    <row r="9" spans="1:10" x14ac:dyDescent="0.2">
      <c r="A9" s="5" t="s">
        <v>67</v>
      </c>
      <c r="B9" s="10"/>
      <c r="C9" s="10"/>
      <c r="D9" s="87"/>
      <c r="E9" s="10"/>
      <c r="F9" s="87"/>
      <c r="G9" s="10"/>
      <c r="H9" s="10"/>
      <c r="I9" s="10"/>
      <c r="J9" s="10"/>
    </row>
    <row r="10" spans="1:10" ht="15" x14ac:dyDescent="0.2">
      <c r="A10" s="1" t="s">
        <v>2</v>
      </c>
      <c r="B10" s="4">
        <f>'General Info'!C9</f>
        <v>47058</v>
      </c>
      <c r="C10" s="4">
        <v>46</v>
      </c>
      <c r="D10" s="86">
        <f t="shared" ref="D10:D15" si="0">SUM(C10/B10)*1000</f>
        <v>0.97751710654936463</v>
      </c>
      <c r="E10" s="4">
        <v>21594</v>
      </c>
      <c r="F10" s="86">
        <f>SUM(E10/B10)</f>
        <v>0.45888053040928217</v>
      </c>
      <c r="G10" s="13">
        <v>7775</v>
      </c>
      <c r="H10" s="4">
        <v>78</v>
      </c>
      <c r="I10" s="4">
        <v>30</v>
      </c>
      <c r="J10" s="4">
        <f t="shared" ref="J10:J15" si="1">H10+I10</f>
        <v>108</v>
      </c>
    </row>
    <row r="11" spans="1:10" ht="15" x14ac:dyDescent="0.2">
      <c r="A11" s="39" t="s">
        <v>18</v>
      </c>
      <c r="B11" s="169">
        <f>'General Info'!C10</f>
        <v>41345</v>
      </c>
      <c r="C11" s="41">
        <v>68</v>
      </c>
      <c r="D11" s="88">
        <f t="shared" si="0"/>
        <v>1.6446970613133391</v>
      </c>
      <c r="E11" s="45">
        <v>21024</v>
      </c>
      <c r="F11" s="195">
        <f t="shared" ref="F11:F12" si="2">SUM(E11/B11)</f>
        <v>0.50850163260370052</v>
      </c>
      <c r="G11" s="249" t="s">
        <v>73</v>
      </c>
      <c r="H11" s="41">
        <v>78</v>
      </c>
      <c r="I11" s="41">
        <v>0</v>
      </c>
      <c r="J11" s="41">
        <f t="shared" si="1"/>
        <v>78</v>
      </c>
    </row>
    <row r="12" spans="1:10" ht="15" x14ac:dyDescent="0.2">
      <c r="A12" s="1" t="s">
        <v>6</v>
      </c>
      <c r="B12" s="4">
        <f>'General Info'!C11</f>
        <v>39472</v>
      </c>
      <c r="C12" s="4">
        <v>43</v>
      </c>
      <c r="D12" s="86">
        <f t="shared" si="0"/>
        <v>1.0893798135387109</v>
      </c>
      <c r="E12" s="4">
        <v>45080</v>
      </c>
      <c r="F12" s="86">
        <f t="shared" si="2"/>
        <v>1.1420753952168625</v>
      </c>
      <c r="G12" s="251" t="s">
        <v>73</v>
      </c>
      <c r="H12" s="4">
        <v>78</v>
      </c>
      <c r="I12" s="4">
        <v>0</v>
      </c>
      <c r="J12" s="4">
        <f t="shared" si="1"/>
        <v>78</v>
      </c>
    </row>
    <row r="13" spans="1:10" ht="15" x14ac:dyDescent="0.2">
      <c r="A13" s="39" t="s">
        <v>0</v>
      </c>
      <c r="B13" s="169">
        <f>'General Info'!C12</f>
        <v>38031</v>
      </c>
      <c r="C13" s="41">
        <v>15</v>
      </c>
      <c r="D13" s="88">
        <f t="shared" si="0"/>
        <v>0.3944150824327522</v>
      </c>
      <c r="E13" s="45">
        <v>13691</v>
      </c>
      <c r="F13" s="195">
        <f>SUM(E13/B13)</f>
        <v>0.35999579290578737</v>
      </c>
      <c r="G13" s="249" t="s">
        <v>73</v>
      </c>
      <c r="H13" s="41">
        <v>78</v>
      </c>
      <c r="I13" s="41">
        <v>0</v>
      </c>
      <c r="J13" s="41">
        <f t="shared" si="1"/>
        <v>78</v>
      </c>
    </row>
    <row r="14" spans="1:10" ht="15" x14ac:dyDescent="0.2">
      <c r="A14" s="1" t="s">
        <v>16</v>
      </c>
      <c r="B14" s="4">
        <f>'General Info'!C13</f>
        <v>32096</v>
      </c>
      <c r="C14" s="4">
        <v>26</v>
      </c>
      <c r="D14" s="86">
        <f t="shared" si="0"/>
        <v>0.81006979062811568</v>
      </c>
      <c r="E14" s="4">
        <v>27450</v>
      </c>
      <c r="F14" s="86">
        <f>SUM(E14/B14)</f>
        <v>0.85524675972083752</v>
      </c>
      <c r="G14" s="251" t="s">
        <v>73</v>
      </c>
      <c r="H14" s="4">
        <v>78</v>
      </c>
      <c r="I14" s="4">
        <v>0</v>
      </c>
      <c r="J14" s="4">
        <f t="shared" si="1"/>
        <v>78</v>
      </c>
    </row>
    <row r="15" spans="1:10" ht="15" x14ac:dyDescent="0.2">
      <c r="A15" s="39" t="s">
        <v>14</v>
      </c>
      <c r="B15" s="169">
        <f>'General Info'!C14</f>
        <v>30518</v>
      </c>
      <c r="C15" s="41">
        <v>45</v>
      </c>
      <c r="D15" s="88">
        <f t="shared" si="0"/>
        <v>1.4745396159643489</v>
      </c>
      <c r="E15" s="45">
        <v>15710</v>
      </c>
      <c r="F15" s="203">
        <f>SUM(E15/B15)</f>
        <v>0.51477816370666496</v>
      </c>
      <c r="G15" s="45">
        <v>25270</v>
      </c>
      <c r="H15" s="41">
        <v>78</v>
      </c>
      <c r="I15" s="41">
        <v>0</v>
      </c>
      <c r="J15" s="41">
        <f t="shared" si="1"/>
        <v>78</v>
      </c>
    </row>
    <row r="16" spans="1:10" ht="15" x14ac:dyDescent="0.2">
      <c r="A16" s="1"/>
      <c r="B16" s="4"/>
      <c r="C16" s="4"/>
      <c r="E16" s="4"/>
      <c r="G16" s="4"/>
      <c r="H16" s="4"/>
      <c r="I16" s="4"/>
      <c r="J16" s="4"/>
    </row>
    <row r="17" spans="1:10" x14ac:dyDescent="0.2">
      <c r="A17" s="5" t="s">
        <v>68</v>
      </c>
      <c r="B17" s="10"/>
      <c r="C17" s="10"/>
      <c r="D17" s="87"/>
      <c r="E17" s="10"/>
      <c r="F17" s="87"/>
      <c r="G17" s="10"/>
      <c r="H17" s="10"/>
      <c r="I17" s="10"/>
      <c r="J17" s="10"/>
    </row>
    <row r="18" spans="1:10" ht="15" x14ac:dyDescent="0.2">
      <c r="A18" s="1" t="s">
        <v>19</v>
      </c>
      <c r="B18" s="4">
        <f>'General Info'!C17</f>
        <v>23287</v>
      </c>
      <c r="C18" s="4">
        <v>67</v>
      </c>
      <c r="D18" s="86">
        <f t="shared" ref="D18:D24" si="3">SUM(C18/B18)*1000</f>
        <v>2.8771417529093486</v>
      </c>
      <c r="E18" s="229">
        <v>8521</v>
      </c>
      <c r="F18" s="86">
        <f>SUM(E18/B18)</f>
        <v>0.36591231159015758</v>
      </c>
      <c r="G18" s="4">
        <v>505947</v>
      </c>
      <c r="H18" s="4">
        <v>78</v>
      </c>
      <c r="I18" s="4">
        <v>12</v>
      </c>
      <c r="J18" s="4">
        <f t="shared" ref="J18:J24" si="4">H18+I18</f>
        <v>90</v>
      </c>
    </row>
    <row r="19" spans="1:10" ht="15" x14ac:dyDescent="0.2">
      <c r="A19" s="39" t="s">
        <v>20</v>
      </c>
      <c r="B19" s="169">
        <f>'General Info'!C18</f>
        <v>20712</v>
      </c>
      <c r="C19" s="41">
        <v>27</v>
      </c>
      <c r="D19" s="88">
        <f t="shared" si="3"/>
        <v>1.3035921205098493</v>
      </c>
      <c r="E19" s="41">
        <v>2963</v>
      </c>
      <c r="F19" s="88">
        <f t="shared" ref="F19:F24" si="5">SUM(E19/B19)</f>
        <v>0.14305716492854384</v>
      </c>
      <c r="G19" s="45">
        <v>2966</v>
      </c>
      <c r="H19" s="41">
        <v>78</v>
      </c>
      <c r="I19" s="41">
        <v>0</v>
      </c>
      <c r="J19" s="41">
        <f t="shared" si="4"/>
        <v>78</v>
      </c>
    </row>
    <row r="20" spans="1:10" ht="15" x14ac:dyDescent="0.2">
      <c r="A20" s="1" t="s">
        <v>11</v>
      </c>
      <c r="B20" s="4">
        <f>'General Info'!C19</f>
        <v>20660</v>
      </c>
      <c r="C20" s="4">
        <v>29</v>
      </c>
      <c r="D20" s="86">
        <f t="shared" si="3"/>
        <v>1.4036786060019362</v>
      </c>
      <c r="E20" s="4">
        <v>17407</v>
      </c>
      <c r="F20" s="86">
        <f t="shared" si="5"/>
        <v>0.84254598257502422</v>
      </c>
      <c r="G20" s="4">
        <v>4704</v>
      </c>
      <c r="H20" s="4">
        <v>78</v>
      </c>
      <c r="I20" s="4">
        <v>0</v>
      </c>
      <c r="J20" s="4">
        <f t="shared" si="4"/>
        <v>78</v>
      </c>
    </row>
    <row r="21" spans="1:10" ht="15" x14ac:dyDescent="0.2">
      <c r="A21" s="39" t="s">
        <v>3</v>
      </c>
      <c r="B21" s="169">
        <f>'General Info'!C20</f>
        <v>14542</v>
      </c>
      <c r="C21" s="41">
        <v>34</v>
      </c>
      <c r="D21" s="88">
        <f t="shared" si="3"/>
        <v>2.3380552881309309</v>
      </c>
      <c r="E21" s="41">
        <v>6515</v>
      </c>
      <c r="F21" s="88">
        <f t="shared" si="5"/>
        <v>0.44801265300508869</v>
      </c>
      <c r="G21" s="249" t="s">
        <v>73</v>
      </c>
      <c r="H21" s="41">
        <v>78</v>
      </c>
      <c r="I21" s="41">
        <v>0</v>
      </c>
      <c r="J21" s="41">
        <f t="shared" si="4"/>
        <v>78</v>
      </c>
    </row>
    <row r="22" spans="1:10" ht="15" x14ac:dyDescent="0.2">
      <c r="A22" s="1" t="s">
        <v>4</v>
      </c>
      <c r="B22" s="4">
        <f>'General Info'!C21</f>
        <v>13786</v>
      </c>
      <c r="C22" s="4">
        <v>55</v>
      </c>
      <c r="D22" s="86">
        <f t="shared" si="3"/>
        <v>3.9895546206296242</v>
      </c>
      <c r="E22" s="250" t="s">
        <v>73</v>
      </c>
      <c r="G22" s="251" t="s">
        <v>73</v>
      </c>
      <c r="H22" s="4">
        <v>78</v>
      </c>
      <c r="I22" s="4">
        <v>0</v>
      </c>
      <c r="J22" s="4">
        <f t="shared" si="4"/>
        <v>78</v>
      </c>
    </row>
    <row r="23" spans="1:10" ht="15" x14ac:dyDescent="0.2">
      <c r="A23" s="39" t="s">
        <v>7</v>
      </c>
      <c r="B23" s="169">
        <f>'General Info'!C22</f>
        <v>12562</v>
      </c>
      <c r="C23" s="41">
        <v>5</v>
      </c>
      <c r="D23" s="88">
        <f t="shared" si="3"/>
        <v>0.39802579207132621</v>
      </c>
      <c r="E23" s="41">
        <v>1599</v>
      </c>
      <c r="F23" s="88">
        <f>SUM(E23/B23)</f>
        <v>0.12728864830441011</v>
      </c>
      <c r="G23" s="249">
        <v>960</v>
      </c>
      <c r="H23" s="41">
        <v>78</v>
      </c>
      <c r="I23" s="41">
        <v>0</v>
      </c>
      <c r="J23" s="41">
        <f t="shared" si="4"/>
        <v>78</v>
      </c>
    </row>
    <row r="24" spans="1:10" ht="15" x14ac:dyDescent="0.2">
      <c r="A24" s="1" t="s">
        <v>1</v>
      </c>
      <c r="B24" s="4">
        <f>'General Info'!C23</f>
        <v>11855</v>
      </c>
      <c r="C24" s="4">
        <v>24</v>
      </c>
      <c r="D24" s="86">
        <f t="shared" si="3"/>
        <v>2.0244622522142555</v>
      </c>
      <c r="E24" s="4">
        <v>4184</v>
      </c>
      <c r="F24" s="86">
        <f t="shared" si="5"/>
        <v>0.35293125263601854</v>
      </c>
      <c r="G24" s="13">
        <v>5702</v>
      </c>
      <c r="H24" s="4">
        <v>78</v>
      </c>
      <c r="I24" s="4">
        <v>0</v>
      </c>
      <c r="J24" s="4">
        <f t="shared" si="4"/>
        <v>78</v>
      </c>
    </row>
    <row r="25" spans="1:10" ht="15" x14ac:dyDescent="0.2">
      <c r="A25" s="176"/>
      <c r="B25" s="4"/>
      <c r="C25" s="175"/>
      <c r="D25" s="192"/>
      <c r="E25" s="175"/>
      <c r="F25" s="192"/>
      <c r="G25" s="197"/>
      <c r="H25" s="175"/>
      <c r="I25" s="175"/>
      <c r="J25" s="175"/>
    </row>
    <row r="26" spans="1:10" ht="15" x14ac:dyDescent="0.2">
      <c r="A26" s="151" t="s">
        <v>69</v>
      </c>
      <c r="B26" s="10"/>
      <c r="C26" s="10"/>
      <c r="D26" s="87"/>
      <c r="E26" s="10"/>
      <c r="F26" s="87"/>
      <c r="G26" s="10"/>
      <c r="H26" s="10"/>
      <c r="I26" s="10"/>
      <c r="J26" s="10"/>
    </row>
    <row r="27" spans="1:10" ht="15" x14ac:dyDescent="0.25">
      <c r="A27" s="184" t="s">
        <v>17</v>
      </c>
      <c r="B27" s="169">
        <f>'General Info'!C26</f>
        <v>8763</v>
      </c>
      <c r="C27" s="41">
        <v>29</v>
      </c>
      <c r="D27" s="88">
        <f t="shared" ref="D27:D34" si="6">SUM(C27/B27)*1000</f>
        <v>3.309368937578455</v>
      </c>
      <c r="E27" s="41">
        <v>10737</v>
      </c>
      <c r="F27" s="88">
        <f t="shared" ref="F27:F34" si="7">SUM(E27/B27)</f>
        <v>1.2252653200958576</v>
      </c>
      <c r="G27" s="249" t="s">
        <v>73</v>
      </c>
      <c r="H27" s="41">
        <v>78</v>
      </c>
      <c r="I27" s="41">
        <v>0</v>
      </c>
      <c r="J27" s="41">
        <f t="shared" ref="J27:J34" si="8">H27+I27</f>
        <v>78</v>
      </c>
    </row>
    <row r="28" spans="1:10" ht="15" x14ac:dyDescent="0.2">
      <c r="A28" s="1" t="s">
        <v>15</v>
      </c>
      <c r="B28" s="4">
        <f>'General Info'!C27</f>
        <v>8645</v>
      </c>
      <c r="C28" s="4">
        <v>7</v>
      </c>
      <c r="D28" s="86">
        <f t="shared" si="6"/>
        <v>0.80971659919028338</v>
      </c>
      <c r="E28" s="4">
        <v>9821</v>
      </c>
      <c r="F28" s="86">
        <f t="shared" si="7"/>
        <v>1.1360323886639676</v>
      </c>
      <c r="G28" s="251" t="s">
        <v>73</v>
      </c>
      <c r="H28" s="4">
        <v>78</v>
      </c>
      <c r="I28" s="4">
        <v>0</v>
      </c>
      <c r="J28" s="4">
        <f t="shared" si="8"/>
        <v>78</v>
      </c>
    </row>
    <row r="29" spans="1:10" ht="15" x14ac:dyDescent="0.2">
      <c r="A29" s="39" t="s">
        <v>9</v>
      </c>
      <c r="B29" s="169">
        <f>'General Info'!C28</f>
        <v>8730</v>
      </c>
      <c r="C29" s="41">
        <v>15</v>
      </c>
      <c r="D29" s="88">
        <f t="shared" si="6"/>
        <v>1.7182130584192439</v>
      </c>
      <c r="E29" s="41">
        <v>4259</v>
      </c>
      <c r="F29" s="88">
        <f t="shared" si="7"/>
        <v>0.48785796105383733</v>
      </c>
      <c r="G29" s="45">
        <v>11690</v>
      </c>
      <c r="H29" s="41">
        <v>78</v>
      </c>
      <c r="I29" s="41">
        <v>0</v>
      </c>
      <c r="J29" s="41">
        <f t="shared" si="8"/>
        <v>78</v>
      </c>
    </row>
    <row r="30" spans="1:10" ht="15" x14ac:dyDescent="0.2">
      <c r="A30" s="1" t="s">
        <v>21</v>
      </c>
      <c r="B30" s="4">
        <f>'General Info'!C29</f>
        <v>7719</v>
      </c>
      <c r="C30" s="4">
        <v>14</v>
      </c>
      <c r="D30" s="86">
        <f t="shared" si="6"/>
        <v>1.8137064386578572</v>
      </c>
      <c r="E30" s="4">
        <v>5261</v>
      </c>
      <c r="F30" s="86">
        <f t="shared" si="7"/>
        <v>0.68156496955564194</v>
      </c>
      <c r="G30" s="251" t="s">
        <v>73</v>
      </c>
      <c r="H30" s="4">
        <v>78</v>
      </c>
      <c r="I30" s="4">
        <v>0</v>
      </c>
      <c r="J30" s="4">
        <f t="shared" si="8"/>
        <v>78</v>
      </c>
    </row>
    <row r="31" spans="1:10" ht="15" x14ac:dyDescent="0.2">
      <c r="A31" s="39" t="s">
        <v>5</v>
      </c>
      <c r="B31" s="169">
        <f>'General Info'!C30</f>
        <v>7448</v>
      </c>
      <c r="C31" s="41">
        <v>26</v>
      </c>
      <c r="D31" s="88">
        <f t="shared" si="6"/>
        <v>3.4908700322234161</v>
      </c>
      <c r="E31" s="41">
        <v>11513</v>
      </c>
      <c r="F31" s="88">
        <f t="shared" si="7"/>
        <v>1.5457841031149302</v>
      </c>
      <c r="G31" s="45">
        <v>7382</v>
      </c>
      <c r="H31" s="41">
        <v>78</v>
      </c>
      <c r="I31" s="41">
        <v>0</v>
      </c>
      <c r="J31" s="41">
        <f t="shared" si="8"/>
        <v>78</v>
      </c>
    </row>
    <row r="32" spans="1:10" ht="15" x14ac:dyDescent="0.2">
      <c r="A32" s="1" t="s">
        <v>22</v>
      </c>
      <c r="B32" s="4">
        <f>'General Info'!C31</f>
        <v>6860</v>
      </c>
      <c r="C32" s="4">
        <v>7</v>
      </c>
      <c r="D32" s="86">
        <f t="shared" si="6"/>
        <v>1.0204081632653061</v>
      </c>
      <c r="E32" s="4">
        <v>1653</v>
      </c>
      <c r="F32" s="86">
        <f t="shared" si="7"/>
        <v>0.24096209912536443</v>
      </c>
      <c r="G32" s="4">
        <v>1442</v>
      </c>
      <c r="H32" s="4">
        <v>78</v>
      </c>
      <c r="I32" s="4">
        <v>0</v>
      </c>
      <c r="J32" s="4">
        <f t="shared" si="8"/>
        <v>78</v>
      </c>
    </row>
    <row r="33" spans="1:10" ht="15" x14ac:dyDescent="0.2">
      <c r="A33" s="39" t="s">
        <v>8</v>
      </c>
      <c r="B33" s="169">
        <f>'General Info'!C32</f>
        <v>4588</v>
      </c>
      <c r="C33" s="41">
        <v>5</v>
      </c>
      <c r="D33" s="88">
        <f t="shared" si="6"/>
        <v>1.0897994768962511</v>
      </c>
      <c r="E33" s="41">
        <v>2297</v>
      </c>
      <c r="F33" s="88">
        <f t="shared" si="7"/>
        <v>0.50065387968613773</v>
      </c>
      <c r="G33" s="45">
        <v>1430</v>
      </c>
      <c r="H33" s="41">
        <v>78</v>
      </c>
      <c r="I33" s="41">
        <v>0</v>
      </c>
      <c r="J33" s="41">
        <f t="shared" si="8"/>
        <v>78</v>
      </c>
    </row>
    <row r="34" spans="1:10" ht="15" x14ac:dyDescent="0.2">
      <c r="A34" s="1" t="s">
        <v>13</v>
      </c>
      <c r="B34" s="4">
        <f>'General Info'!C33</f>
        <v>2380</v>
      </c>
      <c r="C34" s="4">
        <v>9</v>
      </c>
      <c r="D34" s="86">
        <f t="shared" si="6"/>
        <v>3.7815126050420167</v>
      </c>
      <c r="E34" s="13">
        <v>2608</v>
      </c>
      <c r="F34" s="228">
        <f t="shared" si="7"/>
        <v>1.0957983193277312</v>
      </c>
      <c r="G34" s="251" t="s">
        <v>73</v>
      </c>
      <c r="H34" s="4">
        <v>78</v>
      </c>
      <c r="I34" s="4">
        <v>1</v>
      </c>
      <c r="J34" s="4">
        <f t="shared" si="8"/>
        <v>79</v>
      </c>
    </row>
    <row r="35" spans="1:10" x14ac:dyDescent="0.2">
      <c r="B35" s="4"/>
      <c r="C35" s="4"/>
      <c r="E35" s="4"/>
      <c r="G35" s="4"/>
      <c r="H35" s="4"/>
      <c r="I35" s="4"/>
      <c r="J35" s="4"/>
    </row>
    <row r="36" spans="1:10" ht="15" x14ac:dyDescent="0.25">
      <c r="A36" s="6" t="s">
        <v>71</v>
      </c>
      <c r="B36" s="15">
        <f>'General Info'!C35</f>
        <v>581381</v>
      </c>
      <c r="C36" s="15">
        <f>SUM(C6:C34)</f>
        <v>795</v>
      </c>
      <c r="D36" s="89">
        <f>SUM(C36/B36)*1000</f>
        <v>1.3674337482649073</v>
      </c>
      <c r="E36" s="15">
        <f>SUM(E6:E34)</f>
        <v>291501</v>
      </c>
      <c r="F36" s="89">
        <f>SUM(E36/B36)</f>
        <v>0.50139409440624993</v>
      </c>
      <c r="G36" s="15">
        <f>SUM(G6:G34)</f>
        <v>666815</v>
      </c>
      <c r="H36" s="15">
        <v>78</v>
      </c>
      <c r="I36" s="15">
        <f>SUM(I6:I34)</f>
        <v>46</v>
      </c>
      <c r="J36" s="22" t="s">
        <v>72</v>
      </c>
    </row>
  </sheetData>
  <mergeCells count="9">
    <mergeCell ref="H2:I2"/>
    <mergeCell ref="J2:J3"/>
    <mergeCell ref="A1:J1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5" scale="96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">
    <tabColor rgb="FF92D050"/>
    <pageSetUpPr fitToPage="1"/>
  </sheetPr>
  <dimension ref="A1:M36"/>
  <sheetViews>
    <sheetView workbookViewId="0">
      <pane xSplit="1" topLeftCell="B1" activePane="topRight" state="frozen"/>
      <selection pane="topRight" activeCell="B6" sqref="B6"/>
    </sheetView>
  </sheetViews>
  <sheetFormatPr defaultRowHeight="12.75" x14ac:dyDescent="0.2"/>
  <cols>
    <col min="1" max="1" width="35.85546875" customWidth="1"/>
    <col min="2" max="2" width="10.5703125" customWidth="1"/>
    <col min="3" max="3" width="10.85546875" customWidth="1"/>
    <col min="4" max="4" width="11.28515625" customWidth="1"/>
    <col min="5" max="5" width="10.5703125" customWidth="1"/>
    <col min="6" max="6" width="11.140625" customWidth="1"/>
    <col min="7" max="7" width="10.42578125" customWidth="1"/>
    <col min="8" max="8" width="11.5703125" customWidth="1"/>
    <col min="9" max="9" width="11.28515625" customWidth="1"/>
    <col min="10" max="10" width="11.140625" customWidth="1"/>
  </cols>
  <sheetData>
    <row r="1" spans="1:13" s="26" customFormat="1" x14ac:dyDescent="0.2">
      <c r="A1" s="265" t="s">
        <v>529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76"/>
    </row>
    <row r="2" spans="1:13" s="26" customFormat="1" x14ac:dyDescent="0.2">
      <c r="A2" s="69"/>
      <c r="B2" s="70"/>
      <c r="C2" s="289" t="s">
        <v>221</v>
      </c>
      <c r="D2" s="289"/>
      <c r="E2" s="289" t="s">
        <v>222</v>
      </c>
      <c r="F2" s="289"/>
      <c r="G2" s="289" t="s">
        <v>223</v>
      </c>
      <c r="H2" s="289"/>
      <c r="I2" s="289" t="s">
        <v>232</v>
      </c>
      <c r="J2" s="289"/>
      <c r="K2" s="289" t="s">
        <v>224</v>
      </c>
      <c r="L2" s="289"/>
      <c r="M2" s="289"/>
    </row>
    <row r="3" spans="1:13" s="26" customFormat="1" ht="27" customHeight="1" x14ac:dyDescent="0.2">
      <c r="A3" s="96"/>
      <c r="B3" s="97" t="s">
        <v>135</v>
      </c>
      <c r="C3" s="82" t="s">
        <v>225</v>
      </c>
      <c r="D3" s="82" t="s">
        <v>226</v>
      </c>
      <c r="E3" s="82" t="s">
        <v>227</v>
      </c>
      <c r="F3" s="82" t="s">
        <v>228</v>
      </c>
      <c r="G3" s="82" t="s">
        <v>227</v>
      </c>
      <c r="H3" s="82" t="s">
        <v>228</v>
      </c>
      <c r="I3" s="82" t="s">
        <v>227</v>
      </c>
      <c r="J3" s="82" t="s">
        <v>228</v>
      </c>
      <c r="K3" s="82" t="s">
        <v>229</v>
      </c>
      <c r="L3" s="99" t="s">
        <v>230</v>
      </c>
      <c r="M3" s="82" t="s">
        <v>231</v>
      </c>
    </row>
    <row r="4" spans="1:13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">
      <c r="A5" s="5" t="s">
        <v>70</v>
      </c>
      <c r="B5" s="14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" x14ac:dyDescent="0.2">
      <c r="A6" s="1" t="s">
        <v>10</v>
      </c>
      <c r="B6" s="4">
        <f>'General Info'!C5</f>
        <v>100723</v>
      </c>
      <c r="C6" s="4">
        <f>E6+G6+I6</f>
        <v>1480</v>
      </c>
      <c r="D6" s="4">
        <f>F6+H6+J6</f>
        <v>40386</v>
      </c>
      <c r="E6" s="13">
        <f>943+232</f>
        <v>1175</v>
      </c>
      <c r="F6" s="4">
        <f>22467+12936</f>
        <v>35403</v>
      </c>
      <c r="G6" s="4">
        <v>114</v>
      </c>
      <c r="H6" s="4">
        <v>576</v>
      </c>
      <c r="I6" s="4">
        <f>191+0</f>
        <v>191</v>
      </c>
      <c r="J6" s="4">
        <f>4407+0</f>
        <v>4407</v>
      </c>
      <c r="K6" s="4">
        <v>6156</v>
      </c>
      <c r="L6" s="4">
        <v>1889</v>
      </c>
      <c r="M6" s="4">
        <f>K6+L6</f>
        <v>8045</v>
      </c>
    </row>
    <row r="7" spans="1:13" ht="15" x14ac:dyDescent="0.2">
      <c r="A7" s="39" t="s">
        <v>12</v>
      </c>
      <c r="B7" s="169">
        <f>'General Info'!C6</f>
        <v>79601</v>
      </c>
      <c r="C7" s="41">
        <f>E7+G7+I7</f>
        <v>975</v>
      </c>
      <c r="D7" s="41">
        <f>F7+H7+J7</f>
        <v>24582</v>
      </c>
      <c r="E7" s="41">
        <f>292+269</f>
        <v>561</v>
      </c>
      <c r="F7" s="41">
        <f>7488+12324</f>
        <v>19812</v>
      </c>
      <c r="G7" s="41">
        <v>151</v>
      </c>
      <c r="H7" s="41">
        <v>2198</v>
      </c>
      <c r="I7" s="41">
        <f>263+0</f>
        <v>263</v>
      </c>
      <c r="J7" s="41">
        <f>2572+0</f>
        <v>2572</v>
      </c>
      <c r="K7" s="41">
        <v>1525</v>
      </c>
      <c r="L7" s="41">
        <v>722</v>
      </c>
      <c r="M7" s="41">
        <f>K7+L7</f>
        <v>2247</v>
      </c>
    </row>
    <row r="8" spans="1:13" ht="15" x14ac:dyDescent="0.2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">
      <c r="A9" s="5" t="s">
        <v>67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5" x14ac:dyDescent="0.2">
      <c r="A10" s="1" t="s">
        <v>2</v>
      </c>
      <c r="B10" s="4">
        <f>'General Info'!C9</f>
        <v>47058</v>
      </c>
      <c r="C10" s="4">
        <f t="shared" ref="C10:C15" si="0">E10+G10+I10</f>
        <v>549</v>
      </c>
      <c r="D10" s="4">
        <f t="shared" ref="D10:D15" si="1">F10+H10+J10</f>
        <v>22035</v>
      </c>
      <c r="E10" s="4">
        <f>260+26</f>
        <v>286</v>
      </c>
      <c r="F10" s="4">
        <f>9827+2504</f>
        <v>12331</v>
      </c>
      <c r="G10" s="4">
        <v>164</v>
      </c>
      <c r="H10" s="4">
        <v>6630</v>
      </c>
      <c r="I10" s="4">
        <f>98+1</f>
        <v>99</v>
      </c>
      <c r="J10" s="4">
        <f>2874+200</f>
        <v>3074</v>
      </c>
      <c r="K10" s="4">
        <v>1207</v>
      </c>
      <c r="L10" s="4">
        <v>229</v>
      </c>
      <c r="M10" s="4">
        <f>K10+L10</f>
        <v>1436</v>
      </c>
    </row>
    <row r="11" spans="1:13" ht="15" x14ac:dyDescent="0.2">
      <c r="A11" s="39" t="s">
        <v>18</v>
      </c>
      <c r="B11" s="169">
        <f>'General Info'!C10</f>
        <v>41345</v>
      </c>
      <c r="C11" s="41">
        <f t="shared" si="0"/>
        <v>581</v>
      </c>
      <c r="D11" s="41">
        <f t="shared" si="1"/>
        <v>19983</v>
      </c>
      <c r="E11" s="41">
        <f>319+137</f>
        <v>456</v>
      </c>
      <c r="F11" s="41">
        <f>4802+13037</f>
        <v>17839</v>
      </c>
      <c r="G11" s="41">
        <v>101</v>
      </c>
      <c r="H11" s="41">
        <v>1843</v>
      </c>
      <c r="I11" s="41">
        <f>24+0</f>
        <v>24</v>
      </c>
      <c r="J11" s="41">
        <f>301+0</f>
        <v>301</v>
      </c>
      <c r="K11" s="41">
        <v>1458</v>
      </c>
      <c r="L11" s="41">
        <v>922</v>
      </c>
      <c r="M11" s="41">
        <f>K11+L11</f>
        <v>2380</v>
      </c>
    </row>
    <row r="12" spans="1:13" ht="15" x14ac:dyDescent="0.2">
      <c r="A12" s="1" t="s">
        <v>6</v>
      </c>
      <c r="B12" s="4">
        <f>'General Info'!C11</f>
        <v>39472</v>
      </c>
      <c r="C12" s="4">
        <f t="shared" si="0"/>
        <v>671</v>
      </c>
      <c r="D12" s="4">
        <f t="shared" si="1"/>
        <v>15272</v>
      </c>
      <c r="E12" s="4">
        <f>243+177</f>
        <v>420</v>
      </c>
      <c r="F12" s="4">
        <f>7272+4393</f>
        <v>11665</v>
      </c>
      <c r="G12" s="4">
        <v>117</v>
      </c>
      <c r="H12" s="4">
        <f>1286</f>
        <v>1286</v>
      </c>
      <c r="I12" s="4">
        <f>134+0</f>
        <v>134</v>
      </c>
      <c r="J12" s="4">
        <f>2321+0</f>
        <v>2321</v>
      </c>
      <c r="K12" s="4">
        <v>704</v>
      </c>
      <c r="L12" s="4">
        <v>232</v>
      </c>
      <c r="M12" s="4">
        <f>K12+L12</f>
        <v>936</v>
      </c>
    </row>
    <row r="13" spans="1:13" ht="15" x14ac:dyDescent="0.2">
      <c r="A13" s="39" t="s">
        <v>0</v>
      </c>
      <c r="B13" s="169">
        <f>'General Info'!C12</f>
        <v>38031</v>
      </c>
      <c r="C13" s="41">
        <f t="shared" si="0"/>
        <v>330</v>
      </c>
      <c r="D13" s="41">
        <f t="shared" si="1"/>
        <v>8044</v>
      </c>
      <c r="E13" s="41">
        <f>123+72</f>
        <v>195</v>
      </c>
      <c r="F13" s="41">
        <f>2710+2794</f>
        <v>5504</v>
      </c>
      <c r="G13" s="41">
        <f>63</f>
        <v>63</v>
      </c>
      <c r="H13" s="41">
        <v>257</v>
      </c>
      <c r="I13" s="41">
        <f>63+9</f>
        <v>72</v>
      </c>
      <c r="J13" s="41">
        <f>829+1454</f>
        <v>2283</v>
      </c>
      <c r="K13" s="41">
        <v>321</v>
      </c>
      <c r="L13" s="41">
        <v>107</v>
      </c>
      <c r="M13" s="41">
        <f>K13+L13</f>
        <v>428</v>
      </c>
    </row>
    <row r="14" spans="1:13" ht="15" x14ac:dyDescent="0.2">
      <c r="A14" s="1" t="s">
        <v>16</v>
      </c>
      <c r="B14" s="4">
        <f>'General Info'!C13</f>
        <v>32096</v>
      </c>
      <c r="C14" s="4">
        <f t="shared" si="0"/>
        <v>298</v>
      </c>
      <c r="D14" s="4">
        <f t="shared" si="1"/>
        <v>7964</v>
      </c>
      <c r="E14" s="4">
        <f>230+0</f>
        <v>230</v>
      </c>
      <c r="F14" s="4">
        <f>6978+0</f>
        <v>6978</v>
      </c>
      <c r="G14" s="4">
        <v>11</v>
      </c>
      <c r="H14" s="4">
        <v>175</v>
      </c>
      <c r="I14" s="4">
        <f>57+0</f>
        <v>57</v>
      </c>
      <c r="J14" s="13">
        <f>811+0</f>
        <v>811</v>
      </c>
      <c r="K14" s="4"/>
      <c r="L14" s="4"/>
      <c r="M14" s="4"/>
    </row>
    <row r="15" spans="1:13" ht="15" x14ac:dyDescent="0.2">
      <c r="A15" s="39" t="s">
        <v>14</v>
      </c>
      <c r="B15" s="169">
        <f>'General Info'!C14</f>
        <v>30518</v>
      </c>
      <c r="C15" s="41">
        <f t="shared" si="0"/>
        <v>1730</v>
      </c>
      <c r="D15" s="41">
        <f t="shared" si="1"/>
        <v>32360</v>
      </c>
      <c r="E15" s="41">
        <f>515+515</f>
        <v>1030</v>
      </c>
      <c r="F15" s="41">
        <f>11564+11564</f>
        <v>23128</v>
      </c>
      <c r="G15" s="41">
        <f>243</f>
        <v>243</v>
      </c>
      <c r="H15" s="41">
        <v>2208</v>
      </c>
      <c r="I15" s="41">
        <f>328+129</f>
        <v>457</v>
      </c>
      <c r="J15" s="41">
        <f>3482+3542</f>
        <v>7024</v>
      </c>
      <c r="K15" s="41">
        <v>1412</v>
      </c>
      <c r="L15" s="41">
        <v>704</v>
      </c>
      <c r="M15" s="41">
        <f>K15+L15</f>
        <v>2116</v>
      </c>
    </row>
    <row r="16" spans="1:13" ht="15" x14ac:dyDescent="0.2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">
      <c r="A17" s="5" t="s">
        <v>68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5" x14ac:dyDescent="0.2">
      <c r="A18" s="1" t="s">
        <v>19</v>
      </c>
      <c r="B18" s="4">
        <f>'General Info'!C17</f>
        <v>23287</v>
      </c>
      <c r="C18" s="4">
        <f t="shared" ref="C18:C24" si="2">E18+G18+I18</f>
        <v>690</v>
      </c>
      <c r="D18" s="4">
        <f t="shared" ref="D18:D24" si="3">F18+H18+J18</f>
        <v>18099</v>
      </c>
      <c r="E18" s="4">
        <f>529+0</f>
        <v>529</v>
      </c>
      <c r="F18" s="4">
        <f>8957+0</f>
        <v>8957</v>
      </c>
      <c r="G18" s="4">
        <v>17</v>
      </c>
      <c r="H18" s="4">
        <v>53</v>
      </c>
      <c r="I18" s="4">
        <f>144+0</f>
        <v>144</v>
      </c>
      <c r="J18" s="4">
        <f>9089+0</f>
        <v>9089</v>
      </c>
      <c r="K18" s="4">
        <v>1031</v>
      </c>
      <c r="L18" s="4">
        <v>417</v>
      </c>
      <c r="M18" s="4">
        <f t="shared" ref="M18:M24" si="4">K18+L18</f>
        <v>1448</v>
      </c>
    </row>
    <row r="19" spans="1:13" ht="15" x14ac:dyDescent="0.2">
      <c r="A19" s="39" t="s">
        <v>20</v>
      </c>
      <c r="B19" s="169">
        <f>'General Info'!C18</f>
        <v>20712</v>
      </c>
      <c r="C19" s="41">
        <f t="shared" si="2"/>
        <v>812</v>
      </c>
      <c r="D19" s="41">
        <f t="shared" si="3"/>
        <v>23418</v>
      </c>
      <c r="E19" s="41">
        <f>454+225</f>
        <v>679</v>
      </c>
      <c r="F19" s="41">
        <f>13081+5385</f>
        <v>18466</v>
      </c>
      <c r="G19" s="41">
        <v>15</v>
      </c>
      <c r="H19" s="41">
        <v>66</v>
      </c>
      <c r="I19" s="41">
        <f>101+17</f>
        <v>118</v>
      </c>
      <c r="J19" s="41">
        <f>1227+3659</f>
        <v>4886</v>
      </c>
      <c r="K19" s="41">
        <v>512</v>
      </c>
      <c r="L19" s="41">
        <v>140</v>
      </c>
      <c r="M19" s="41">
        <f t="shared" si="4"/>
        <v>652</v>
      </c>
    </row>
    <row r="20" spans="1:13" ht="15" x14ac:dyDescent="0.2">
      <c r="A20" s="1" t="s">
        <v>11</v>
      </c>
      <c r="B20" s="4">
        <f>'General Info'!C19</f>
        <v>20660</v>
      </c>
      <c r="C20" s="4">
        <f t="shared" si="2"/>
        <v>1794</v>
      </c>
      <c r="D20" s="4">
        <f t="shared" si="3"/>
        <v>26787</v>
      </c>
      <c r="E20" s="4">
        <f>160+995</f>
        <v>1155</v>
      </c>
      <c r="F20" s="4">
        <f>2182+17398</f>
        <v>19580</v>
      </c>
      <c r="G20" s="4">
        <v>143</v>
      </c>
      <c r="H20" s="4">
        <v>1280</v>
      </c>
      <c r="I20" s="4">
        <f>468+28</f>
        <v>496</v>
      </c>
      <c r="J20" s="4">
        <f>4833+1094</f>
        <v>5927</v>
      </c>
      <c r="K20" s="4">
        <v>875</v>
      </c>
      <c r="L20" s="4">
        <v>191</v>
      </c>
      <c r="M20" s="4">
        <f t="shared" si="4"/>
        <v>1066</v>
      </c>
    </row>
    <row r="21" spans="1:13" ht="15" x14ac:dyDescent="0.2">
      <c r="A21" s="39" t="s">
        <v>3</v>
      </c>
      <c r="B21" s="169">
        <f>'General Info'!C20</f>
        <v>14542</v>
      </c>
      <c r="C21" s="41">
        <f t="shared" si="2"/>
        <v>1294</v>
      </c>
      <c r="D21" s="41">
        <f t="shared" si="3"/>
        <v>10068</v>
      </c>
      <c r="E21" s="41">
        <f>258+258</f>
        <v>516</v>
      </c>
      <c r="F21" s="41">
        <f>2939+2939</f>
        <v>5878</v>
      </c>
      <c r="G21" s="41">
        <v>202</v>
      </c>
      <c r="H21" s="41">
        <v>933</v>
      </c>
      <c r="I21" s="41">
        <f>576+0</f>
        <v>576</v>
      </c>
      <c r="J21" s="41">
        <f>3257</f>
        <v>3257</v>
      </c>
      <c r="K21" s="41">
        <v>270</v>
      </c>
      <c r="L21" s="41">
        <v>119</v>
      </c>
      <c r="M21" s="41">
        <f t="shared" si="4"/>
        <v>389</v>
      </c>
    </row>
    <row r="22" spans="1:13" ht="15" x14ac:dyDescent="0.2">
      <c r="A22" s="1" t="s">
        <v>4</v>
      </c>
      <c r="B22" s="4">
        <f>'General Info'!C21</f>
        <v>13786</v>
      </c>
      <c r="C22" s="4">
        <f t="shared" si="2"/>
        <v>917</v>
      </c>
      <c r="D22" s="4">
        <f t="shared" si="3"/>
        <v>9684</v>
      </c>
      <c r="E22" s="4">
        <f>358+0</f>
        <v>358</v>
      </c>
      <c r="F22" s="4">
        <f>5462</f>
        <v>5462</v>
      </c>
      <c r="G22" s="4">
        <v>358</v>
      </c>
      <c r="H22" s="4">
        <v>2592</v>
      </c>
      <c r="I22" s="4">
        <f>146+55</f>
        <v>201</v>
      </c>
      <c r="J22" s="4">
        <f>1437+193</f>
        <v>1630</v>
      </c>
      <c r="K22" s="4">
        <v>433</v>
      </c>
      <c r="L22" s="4">
        <v>144</v>
      </c>
      <c r="M22" s="4">
        <f t="shared" si="4"/>
        <v>577</v>
      </c>
    </row>
    <row r="23" spans="1:13" ht="15" x14ac:dyDescent="0.2">
      <c r="A23" s="39" t="s">
        <v>7</v>
      </c>
      <c r="B23" s="169">
        <f>'General Info'!C22</f>
        <v>12562</v>
      </c>
      <c r="C23" s="41">
        <f t="shared" si="2"/>
        <v>177</v>
      </c>
      <c r="D23" s="41">
        <f t="shared" si="3"/>
        <v>4348</v>
      </c>
      <c r="E23" s="41">
        <f>50+52</f>
        <v>102</v>
      </c>
      <c r="F23" s="41">
        <f>1140+1479</f>
        <v>2619</v>
      </c>
      <c r="G23" s="41">
        <v>7</v>
      </c>
      <c r="H23" s="41">
        <v>305</v>
      </c>
      <c r="I23" s="41">
        <f>65+3</f>
        <v>68</v>
      </c>
      <c r="J23" s="41">
        <f>728+696</f>
        <v>1424</v>
      </c>
      <c r="K23" s="41">
        <v>346</v>
      </c>
      <c r="L23" s="41">
        <v>35</v>
      </c>
      <c r="M23" s="41">
        <f t="shared" si="4"/>
        <v>381</v>
      </c>
    </row>
    <row r="24" spans="1:13" ht="15" x14ac:dyDescent="0.2">
      <c r="A24" s="1" t="s">
        <v>1</v>
      </c>
      <c r="B24" s="4">
        <f>'General Info'!C23</f>
        <v>11855</v>
      </c>
      <c r="C24" s="4">
        <f t="shared" si="2"/>
        <v>256</v>
      </c>
      <c r="D24" s="4">
        <f t="shared" si="3"/>
        <v>8175</v>
      </c>
      <c r="E24" s="4">
        <f>137+44</f>
        <v>181</v>
      </c>
      <c r="F24" s="4">
        <f>2041+2294</f>
        <v>4335</v>
      </c>
      <c r="G24" s="4">
        <v>15</v>
      </c>
      <c r="H24" s="4">
        <v>331</v>
      </c>
      <c r="I24" s="4">
        <f>38+22</f>
        <v>60</v>
      </c>
      <c r="J24" s="4">
        <f>1822+1687</f>
        <v>3509</v>
      </c>
      <c r="K24" s="4">
        <v>371</v>
      </c>
      <c r="L24" s="4">
        <v>101</v>
      </c>
      <c r="M24" s="4">
        <f t="shared" si="4"/>
        <v>472</v>
      </c>
    </row>
    <row r="25" spans="1:13" ht="15" x14ac:dyDescent="0.2">
      <c r="A25" s="176"/>
      <c r="B25" s="4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</row>
    <row r="26" spans="1:13" ht="15" x14ac:dyDescent="0.2">
      <c r="A26" s="151" t="s">
        <v>69</v>
      </c>
      <c r="B26" s="10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</row>
    <row r="27" spans="1:13" ht="15" x14ac:dyDescent="0.25">
      <c r="A27" s="184" t="s">
        <v>17</v>
      </c>
      <c r="B27" s="169">
        <f>'General Info'!C26</f>
        <v>8763</v>
      </c>
      <c r="C27" s="41">
        <f t="shared" ref="C27:C34" si="5">E27+G27+I27</f>
        <v>589</v>
      </c>
      <c r="D27" s="41">
        <f t="shared" ref="D27:D34" si="6">F27+H27+J27</f>
        <v>13021</v>
      </c>
      <c r="E27" s="165">
        <f>306+0</f>
        <v>306</v>
      </c>
      <c r="F27" s="165">
        <f>7614+0</f>
        <v>7614</v>
      </c>
      <c r="G27" s="165">
        <v>91</v>
      </c>
      <c r="H27" s="165">
        <v>1108</v>
      </c>
      <c r="I27" s="165">
        <f>192+0</f>
        <v>192</v>
      </c>
      <c r="J27" s="165">
        <f>4299+0</f>
        <v>4299</v>
      </c>
      <c r="K27" s="165">
        <v>463</v>
      </c>
      <c r="L27" s="165">
        <v>75</v>
      </c>
      <c r="M27" s="165">
        <f t="shared" ref="M27:M34" si="7">K27+L27</f>
        <v>538</v>
      </c>
    </row>
    <row r="28" spans="1:13" ht="15" x14ac:dyDescent="0.2">
      <c r="A28" s="1" t="s">
        <v>15</v>
      </c>
      <c r="B28" s="4">
        <f>'General Info'!C27</f>
        <v>8645</v>
      </c>
      <c r="C28" s="4">
        <f t="shared" si="5"/>
        <v>208</v>
      </c>
      <c r="D28" s="4">
        <f t="shared" si="6"/>
        <v>9068</v>
      </c>
      <c r="E28" s="4">
        <f>138+55</f>
        <v>193</v>
      </c>
      <c r="F28" s="4">
        <f>7792+787</f>
        <v>8579</v>
      </c>
      <c r="G28" s="4">
        <v>13</v>
      </c>
      <c r="H28" s="4">
        <v>317</v>
      </c>
      <c r="I28" s="4">
        <f>2+0</f>
        <v>2</v>
      </c>
      <c r="J28" s="4">
        <f>172+0</f>
        <v>172</v>
      </c>
      <c r="K28" s="4">
        <v>216</v>
      </c>
      <c r="L28" s="4">
        <v>172</v>
      </c>
      <c r="M28" s="4">
        <f t="shared" si="7"/>
        <v>388</v>
      </c>
    </row>
    <row r="29" spans="1:13" ht="15" x14ac:dyDescent="0.2">
      <c r="A29" s="39" t="s">
        <v>9</v>
      </c>
      <c r="B29" s="169">
        <f>'General Info'!C28</f>
        <v>8730</v>
      </c>
      <c r="C29" s="41">
        <f t="shared" si="5"/>
        <v>218</v>
      </c>
      <c r="D29" s="41">
        <f t="shared" si="6"/>
        <v>5210</v>
      </c>
      <c r="E29" s="41">
        <f>131+29</f>
        <v>160</v>
      </c>
      <c r="F29" s="41">
        <f>1639+2274</f>
        <v>3913</v>
      </c>
      <c r="G29" s="41">
        <v>14</v>
      </c>
      <c r="H29" s="41">
        <v>300</v>
      </c>
      <c r="I29" s="41">
        <f>39+5</f>
        <v>44</v>
      </c>
      <c r="J29" s="41">
        <f>842+155</f>
        <v>997</v>
      </c>
      <c r="K29" s="41">
        <v>396</v>
      </c>
      <c r="L29" s="41">
        <v>75</v>
      </c>
      <c r="M29" s="41">
        <f t="shared" si="7"/>
        <v>471</v>
      </c>
    </row>
    <row r="30" spans="1:13" ht="15" x14ac:dyDescent="0.2">
      <c r="A30" s="1" t="s">
        <v>21</v>
      </c>
      <c r="B30" s="4">
        <f>'General Info'!C29</f>
        <v>7719</v>
      </c>
      <c r="C30" s="4">
        <f t="shared" si="5"/>
        <v>184</v>
      </c>
      <c r="D30" s="4">
        <f t="shared" si="6"/>
        <v>2205</v>
      </c>
      <c r="E30" s="4">
        <f>110+36</f>
        <v>146</v>
      </c>
      <c r="F30" s="4">
        <f>936+786</f>
        <v>1722</v>
      </c>
      <c r="G30" s="4">
        <v>11</v>
      </c>
      <c r="H30" s="4">
        <v>127</v>
      </c>
      <c r="I30" s="4">
        <f>27+0</f>
        <v>27</v>
      </c>
      <c r="J30" s="4">
        <f>356+0</f>
        <v>356</v>
      </c>
      <c r="K30" s="4">
        <v>186</v>
      </c>
      <c r="L30" s="4">
        <v>89</v>
      </c>
      <c r="M30" s="4">
        <f t="shared" si="7"/>
        <v>275</v>
      </c>
    </row>
    <row r="31" spans="1:13" ht="15" x14ac:dyDescent="0.2">
      <c r="A31" s="39" t="s">
        <v>5</v>
      </c>
      <c r="B31" s="169">
        <f>'General Info'!C30</f>
        <v>7448</v>
      </c>
      <c r="C31" s="41">
        <f t="shared" si="5"/>
        <v>1381</v>
      </c>
      <c r="D31" s="41">
        <f t="shared" si="6"/>
        <v>18477</v>
      </c>
      <c r="E31" s="41">
        <f>369+471</f>
        <v>840</v>
      </c>
      <c r="F31" s="41">
        <f>5017+9479</f>
        <v>14496</v>
      </c>
      <c r="G31" s="41">
        <v>1</v>
      </c>
      <c r="H31" s="41">
        <v>11</v>
      </c>
      <c r="I31" s="41">
        <f>537+3</f>
        <v>540</v>
      </c>
      <c r="J31" s="41">
        <f>3709+261</f>
        <v>3970</v>
      </c>
      <c r="K31" s="41">
        <v>417</v>
      </c>
      <c r="L31" s="41">
        <v>54</v>
      </c>
      <c r="M31" s="41">
        <f t="shared" si="7"/>
        <v>471</v>
      </c>
    </row>
    <row r="32" spans="1:13" ht="15" x14ac:dyDescent="0.2">
      <c r="A32" s="1" t="s">
        <v>22</v>
      </c>
      <c r="B32" s="4">
        <f>'General Info'!C31</f>
        <v>6860</v>
      </c>
      <c r="C32" s="4">
        <f t="shared" si="5"/>
        <v>204</v>
      </c>
      <c r="D32" s="4">
        <f t="shared" si="6"/>
        <v>2358</v>
      </c>
      <c r="E32" s="4">
        <f>133+36</f>
        <v>169</v>
      </c>
      <c r="F32" s="4">
        <f>1446+522</f>
        <v>1968</v>
      </c>
      <c r="G32" s="4">
        <v>0</v>
      </c>
      <c r="H32" s="4">
        <v>0</v>
      </c>
      <c r="I32" s="4">
        <f>35+0</f>
        <v>35</v>
      </c>
      <c r="J32" s="4">
        <f>390+0</f>
        <v>390</v>
      </c>
      <c r="K32" s="4">
        <v>195</v>
      </c>
      <c r="L32" s="4">
        <v>58</v>
      </c>
      <c r="M32" s="4">
        <f t="shared" si="7"/>
        <v>253</v>
      </c>
    </row>
    <row r="33" spans="1:13" ht="15" x14ac:dyDescent="0.2">
      <c r="A33" s="39" t="s">
        <v>8</v>
      </c>
      <c r="B33" s="169">
        <f>'General Info'!C32</f>
        <v>4588</v>
      </c>
      <c r="C33" s="41">
        <f t="shared" si="5"/>
        <v>49</v>
      </c>
      <c r="D33" s="41">
        <f t="shared" si="6"/>
        <v>657</v>
      </c>
      <c r="E33" s="41">
        <f>30+1</f>
        <v>31</v>
      </c>
      <c r="F33" s="41">
        <f>447+40</f>
        <v>487</v>
      </c>
      <c r="G33" s="41">
        <v>0</v>
      </c>
      <c r="H33" s="41">
        <v>0</v>
      </c>
      <c r="I33" s="41">
        <f>17+1</f>
        <v>18</v>
      </c>
      <c r="J33" s="41">
        <f>142+28</f>
        <v>170</v>
      </c>
      <c r="K33" s="41">
        <v>340</v>
      </c>
      <c r="L33" s="41">
        <v>0</v>
      </c>
      <c r="M33" s="41">
        <f t="shared" si="7"/>
        <v>340</v>
      </c>
    </row>
    <row r="34" spans="1:13" ht="15" x14ac:dyDescent="0.2">
      <c r="A34" s="1" t="s">
        <v>13</v>
      </c>
      <c r="B34" s="4">
        <f>'General Info'!C33</f>
        <v>2380</v>
      </c>
      <c r="C34" s="4">
        <f t="shared" si="5"/>
        <v>338</v>
      </c>
      <c r="D34" s="4">
        <f t="shared" si="6"/>
        <v>5740</v>
      </c>
      <c r="E34" s="4">
        <f>79+173</f>
        <v>252</v>
      </c>
      <c r="F34" s="4">
        <f>1209+2628</f>
        <v>3837</v>
      </c>
      <c r="G34" s="4">
        <v>27</v>
      </c>
      <c r="H34" s="4">
        <v>498</v>
      </c>
      <c r="I34" s="4">
        <f>59+0</f>
        <v>59</v>
      </c>
      <c r="J34" s="4">
        <f>1405+0</f>
        <v>1405</v>
      </c>
      <c r="K34" s="4">
        <v>75</v>
      </c>
      <c r="L34" s="4">
        <v>48</v>
      </c>
      <c r="M34" s="4">
        <f t="shared" si="7"/>
        <v>123</v>
      </c>
    </row>
    <row r="35" spans="1:13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" x14ac:dyDescent="0.25">
      <c r="A36" s="6" t="s">
        <v>71</v>
      </c>
      <c r="B36" s="15">
        <f>'General Info'!C35</f>
        <v>581381</v>
      </c>
      <c r="C36" s="15">
        <f t="shared" ref="C36:M36" si="8">SUM(C6:C34)</f>
        <v>15725</v>
      </c>
      <c r="D36" s="15">
        <f t="shared" si="8"/>
        <v>327941</v>
      </c>
      <c r="E36" s="15">
        <f t="shared" si="8"/>
        <v>9970</v>
      </c>
      <c r="F36" s="15">
        <f t="shared" si="8"/>
        <v>240573</v>
      </c>
      <c r="G36" s="15">
        <f t="shared" si="8"/>
        <v>1878</v>
      </c>
      <c r="H36" s="15">
        <f t="shared" si="8"/>
        <v>23094</v>
      </c>
      <c r="I36" s="15">
        <f t="shared" si="8"/>
        <v>3877</v>
      </c>
      <c r="J36" s="15">
        <f t="shared" si="8"/>
        <v>64274</v>
      </c>
      <c r="K36" s="15">
        <f t="shared" si="8"/>
        <v>18909</v>
      </c>
      <c r="L36" s="15">
        <f t="shared" si="8"/>
        <v>6523</v>
      </c>
      <c r="M36" s="15">
        <f t="shared" si="8"/>
        <v>25432</v>
      </c>
    </row>
  </sheetData>
  <mergeCells count="6">
    <mergeCell ref="A1:M1"/>
    <mergeCell ref="C2:D2"/>
    <mergeCell ref="E2:F2"/>
    <mergeCell ref="G2:H2"/>
    <mergeCell ref="I2:J2"/>
    <mergeCell ref="K2:M2"/>
  </mergeCells>
  <pageMargins left="0.25" right="0.25" top="0.75" bottom="0.75" header="0.3" footer="0.3"/>
  <pageSetup paperSize="5" scale="97" fitToWidth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F15"/>
  <sheetViews>
    <sheetView zoomScaleNormal="100" workbookViewId="0">
      <selection activeCell="A14" sqref="A14"/>
    </sheetView>
  </sheetViews>
  <sheetFormatPr defaultRowHeight="12.75" x14ac:dyDescent="0.2"/>
  <cols>
    <col min="1" max="1" width="46" bestFit="1" customWidth="1"/>
    <col min="2" max="2" width="13.140625" customWidth="1"/>
    <col min="3" max="3" width="13.42578125" customWidth="1"/>
    <col min="4" max="4" width="14.28515625" customWidth="1"/>
    <col min="5" max="5" width="14.140625" customWidth="1"/>
    <col min="6" max="6" width="14.28515625" customWidth="1"/>
  </cols>
  <sheetData>
    <row r="1" spans="1:6" x14ac:dyDescent="0.2">
      <c r="A1" s="132" t="s">
        <v>512</v>
      </c>
      <c r="B1" s="133"/>
      <c r="C1" s="133"/>
      <c r="D1" s="133"/>
      <c r="E1" s="133"/>
      <c r="F1" s="134"/>
    </row>
    <row r="2" spans="1:6" x14ac:dyDescent="0.2">
      <c r="A2" s="135"/>
      <c r="B2" s="136" t="s">
        <v>490</v>
      </c>
      <c r="C2" s="136" t="s">
        <v>493</v>
      </c>
      <c r="D2" s="136" t="s">
        <v>496</v>
      </c>
      <c r="E2" s="136" t="s">
        <v>511</v>
      </c>
      <c r="F2" s="136" t="s">
        <v>534</v>
      </c>
    </row>
    <row r="3" spans="1:6" x14ac:dyDescent="0.2">
      <c r="A3" s="112" t="s">
        <v>479</v>
      </c>
      <c r="B3" s="174">
        <v>577737</v>
      </c>
      <c r="C3" s="174">
        <v>578759</v>
      </c>
      <c r="D3" s="174">
        <v>576851</v>
      </c>
      <c r="E3" s="174">
        <v>577267</v>
      </c>
      <c r="F3" s="174">
        <f>'General Info'!C35</f>
        <v>581381</v>
      </c>
    </row>
    <row r="4" spans="1:6" x14ac:dyDescent="0.2">
      <c r="A4" s="112" t="s">
        <v>480</v>
      </c>
      <c r="B4" s="170">
        <v>402.72</v>
      </c>
      <c r="C4" s="170">
        <v>401.25</v>
      </c>
      <c r="D4" s="170">
        <v>389.24</v>
      </c>
      <c r="E4" s="170">
        <v>396.87</v>
      </c>
      <c r="F4" s="238">
        <f>Staffing!H35</f>
        <v>399.09999999999997</v>
      </c>
    </row>
    <row r="5" spans="1:6" x14ac:dyDescent="0.2">
      <c r="A5" s="112" t="s">
        <v>481</v>
      </c>
      <c r="B5" s="173">
        <v>31559359</v>
      </c>
      <c r="C5" s="173">
        <v>32043154</v>
      </c>
      <c r="D5" s="173">
        <v>30729391</v>
      </c>
      <c r="E5" s="173">
        <v>32735814</v>
      </c>
      <c r="F5" s="173">
        <f>Expenditures!C35</f>
        <v>34347543</v>
      </c>
    </row>
    <row r="6" spans="1:6" x14ac:dyDescent="0.2">
      <c r="A6" s="112" t="s">
        <v>482</v>
      </c>
      <c r="B6" s="172">
        <v>54.63</v>
      </c>
      <c r="C6" s="172">
        <v>55.37</v>
      </c>
      <c r="D6" s="172">
        <v>53.27</v>
      </c>
      <c r="E6" s="172">
        <v>56.71</v>
      </c>
      <c r="F6" s="172">
        <f>Expenditures!D35</f>
        <v>59.079232035446637</v>
      </c>
    </row>
    <row r="7" spans="1:6" x14ac:dyDescent="0.2">
      <c r="A7" s="112" t="s">
        <v>483</v>
      </c>
      <c r="B7" s="171">
        <v>2180500</v>
      </c>
      <c r="C7" s="171">
        <v>2056842</v>
      </c>
      <c r="D7" s="171">
        <v>2075842</v>
      </c>
      <c r="E7" s="171">
        <v>2051034</v>
      </c>
      <c r="F7" s="171">
        <f>Collections!C35</f>
        <v>2070431</v>
      </c>
    </row>
    <row r="8" spans="1:6" x14ac:dyDescent="0.2">
      <c r="A8" s="112" t="s">
        <v>488</v>
      </c>
      <c r="B8" s="171">
        <v>152136</v>
      </c>
      <c r="C8" s="171">
        <v>151296</v>
      </c>
      <c r="D8" s="171">
        <v>145951</v>
      </c>
      <c r="E8" s="171">
        <v>168906</v>
      </c>
      <c r="F8" s="171">
        <f>Collections!E35</f>
        <v>151550</v>
      </c>
    </row>
    <row r="9" spans="1:6" x14ac:dyDescent="0.2">
      <c r="A9" s="112" t="s">
        <v>489</v>
      </c>
      <c r="B9" s="171">
        <v>245470</v>
      </c>
      <c r="C9" s="171">
        <v>251649</v>
      </c>
      <c r="D9" s="171">
        <v>284905</v>
      </c>
      <c r="E9" s="171">
        <v>254422</v>
      </c>
      <c r="F9" s="171">
        <f>Collections!G35</f>
        <v>257712</v>
      </c>
    </row>
    <row r="10" spans="1:6" x14ac:dyDescent="0.2">
      <c r="A10" s="112" t="s">
        <v>484</v>
      </c>
      <c r="B10" s="171">
        <v>3124031</v>
      </c>
      <c r="C10" s="171">
        <v>1967211</v>
      </c>
      <c r="D10" s="171">
        <v>1448769</v>
      </c>
      <c r="E10" s="171">
        <v>1859840</v>
      </c>
      <c r="F10" s="171">
        <f>'Hours and Use'!F35</f>
        <v>2182928</v>
      </c>
    </row>
    <row r="11" spans="1:6" x14ac:dyDescent="0.2">
      <c r="A11" s="112" t="s">
        <v>485</v>
      </c>
      <c r="B11" s="171">
        <v>3994830</v>
      </c>
      <c r="C11" s="171">
        <v>4028029</v>
      </c>
      <c r="D11" s="171">
        <v>3867442</v>
      </c>
      <c r="E11" s="171">
        <v>4193844</v>
      </c>
      <c r="F11" s="171">
        <f>Circulation!C35</f>
        <v>4353665</v>
      </c>
    </row>
    <row r="12" spans="1:6" x14ac:dyDescent="0.2">
      <c r="A12" s="112" t="s">
        <v>486</v>
      </c>
      <c r="B12" s="170">
        <v>897</v>
      </c>
      <c r="C12" s="170">
        <v>725</v>
      </c>
      <c r="D12" s="170">
        <v>721</v>
      </c>
      <c r="E12" s="170">
        <v>704</v>
      </c>
      <c r="F12" s="171">
        <f>'Electronic Resources'!C36</f>
        <v>795</v>
      </c>
    </row>
    <row r="13" spans="1:6" x14ac:dyDescent="0.2">
      <c r="A13" s="112" t="s">
        <v>487</v>
      </c>
      <c r="B13" s="171">
        <v>569335</v>
      </c>
      <c r="C13" s="171">
        <v>319719</v>
      </c>
      <c r="D13" s="171">
        <v>172697</v>
      </c>
      <c r="E13" s="171">
        <v>211073</v>
      </c>
      <c r="F13" s="171">
        <f>'Electronic Resources'!E36</f>
        <v>291501</v>
      </c>
    </row>
    <row r="15" spans="1:6" x14ac:dyDescent="0.2">
      <c r="A15" s="13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180"/>
  <sheetViews>
    <sheetView workbookViewId="0">
      <selection activeCell="I101" sqref="I101"/>
    </sheetView>
  </sheetViews>
  <sheetFormatPr defaultRowHeight="12.75" x14ac:dyDescent="0.2"/>
  <cols>
    <col min="1" max="1" width="11.7109375" bestFit="1" customWidth="1"/>
    <col min="2" max="2" width="41.28515625" bestFit="1" customWidth="1"/>
    <col min="3" max="3" width="33" bestFit="1" customWidth="1"/>
    <col min="4" max="4" width="14.7109375" bestFit="1" customWidth="1"/>
    <col min="5" max="5" width="6" bestFit="1" customWidth="1"/>
    <col min="6" max="6" width="12.42578125" bestFit="1" customWidth="1"/>
    <col min="7" max="7" width="11.85546875" bestFit="1" customWidth="1"/>
    <col min="8" max="8" width="7.5703125" style="4" customWidth="1"/>
    <col min="9" max="9" width="11.28515625" style="4" bestFit="1" customWidth="1"/>
    <col min="10" max="10" width="12.140625" bestFit="1" customWidth="1"/>
  </cols>
  <sheetData>
    <row r="1" spans="1:10" ht="12.75" customHeight="1" x14ac:dyDescent="0.2">
      <c r="A1" s="103" t="s">
        <v>517</v>
      </c>
      <c r="B1" s="104"/>
      <c r="C1" s="104"/>
      <c r="D1" s="104"/>
      <c r="E1" s="104"/>
      <c r="F1" s="104"/>
      <c r="G1" s="104"/>
      <c r="H1" s="105"/>
      <c r="I1" s="105"/>
      <c r="J1" s="106"/>
    </row>
    <row r="2" spans="1:10" s="110" customFormat="1" ht="25.5" x14ac:dyDescent="0.2">
      <c r="A2" s="107" t="s">
        <v>168</v>
      </c>
      <c r="B2" s="107" t="s">
        <v>233</v>
      </c>
      <c r="C2" s="107" t="s">
        <v>76</v>
      </c>
      <c r="D2" s="107" t="s">
        <v>78</v>
      </c>
      <c r="E2" s="107" t="s">
        <v>234</v>
      </c>
      <c r="F2" s="107" t="s">
        <v>80</v>
      </c>
      <c r="G2" s="107" t="s">
        <v>235</v>
      </c>
      <c r="H2" s="108" t="s">
        <v>236</v>
      </c>
      <c r="I2" s="108" t="s">
        <v>237</v>
      </c>
      <c r="J2" s="109" t="s">
        <v>238</v>
      </c>
    </row>
    <row r="3" spans="1:10" ht="12.75" customHeight="1" x14ac:dyDescent="0.2">
      <c r="A3" s="111" t="s">
        <v>239</v>
      </c>
      <c r="B3" s="111" t="s">
        <v>0</v>
      </c>
      <c r="C3" s="111" t="s">
        <v>89</v>
      </c>
      <c r="D3" s="111" t="s">
        <v>117</v>
      </c>
      <c r="E3" s="112">
        <v>82070</v>
      </c>
      <c r="F3" s="111" t="s">
        <v>40</v>
      </c>
      <c r="G3" s="112" t="s">
        <v>240</v>
      </c>
      <c r="H3" s="113">
        <v>27624</v>
      </c>
      <c r="I3" s="113">
        <v>2336</v>
      </c>
      <c r="J3" s="112">
        <v>51</v>
      </c>
    </row>
    <row r="4" spans="1:10" ht="12.75" customHeight="1" x14ac:dyDescent="0.2">
      <c r="A4" s="111"/>
      <c r="B4" s="114" t="s">
        <v>513</v>
      </c>
      <c r="C4" s="114" t="s">
        <v>89</v>
      </c>
      <c r="D4" s="114" t="s">
        <v>117</v>
      </c>
      <c r="E4" s="252">
        <v>82070</v>
      </c>
      <c r="F4" s="114" t="s">
        <v>40</v>
      </c>
      <c r="G4" s="252" t="s">
        <v>334</v>
      </c>
      <c r="H4" s="205">
        <v>160</v>
      </c>
      <c r="I4" s="205">
        <v>212</v>
      </c>
      <c r="J4" s="205">
        <v>36</v>
      </c>
    </row>
    <row r="5" spans="1:10" ht="12.75" customHeight="1" x14ac:dyDescent="0.2">
      <c r="A5" s="114"/>
      <c r="B5" s="114" t="s">
        <v>241</v>
      </c>
      <c r="C5" s="114" t="s">
        <v>242</v>
      </c>
      <c r="D5" s="114" t="s">
        <v>243</v>
      </c>
      <c r="E5" s="115">
        <v>82055</v>
      </c>
      <c r="F5" s="114" t="s">
        <v>244</v>
      </c>
      <c r="G5" s="115" t="s">
        <v>245</v>
      </c>
      <c r="H5" s="116">
        <v>864</v>
      </c>
      <c r="I5" s="116">
        <v>1122</v>
      </c>
      <c r="J5" s="115">
        <v>51</v>
      </c>
    </row>
    <row r="6" spans="1:10" ht="12.75" customHeight="1" x14ac:dyDescent="0.2">
      <c r="A6" s="114"/>
      <c r="B6" s="114" t="s">
        <v>246</v>
      </c>
      <c r="C6" s="114" t="s">
        <v>247</v>
      </c>
      <c r="D6" s="114" t="s">
        <v>248</v>
      </c>
      <c r="E6" s="115">
        <v>82083</v>
      </c>
      <c r="F6" s="114" t="s">
        <v>249</v>
      </c>
      <c r="G6" s="115" t="s">
        <v>245</v>
      </c>
      <c r="H6" s="116">
        <v>500</v>
      </c>
      <c r="I6" s="116">
        <v>408</v>
      </c>
      <c r="J6" s="115">
        <v>51</v>
      </c>
    </row>
    <row r="7" spans="1:10" ht="12.75" customHeight="1" x14ac:dyDescent="0.2">
      <c r="A7" s="117"/>
      <c r="B7" s="118"/>
      <c r="C7" s="118"/>
      <c r="D7" s="118"/>
      <c r="E7" s="119"/>
      <c r="F7" s="118"/>
      <c r="G7" s="119"/>
      <c r="H7" s="120"/>
      <c r="I7" s="120"/>
      <c r="J7" s="121"/>
    </row>
    <row r="8" spans="1:10" ht="12.75" customHeight="1" x14ac:dyDescent="0.2">
      <c r="A8" s="111" t="s">
        <v>250</v>
      </c>
      <c r="B8" s="111" t="s">
        <v>1</v>
      </c>
      <c r="C8" s="111" t="s">
        <v>98</v>
      </c>
      <c r="D8" s="111" t="s">
        <v>126</v>
      </c>
      <c r="E8" s="112">
        <v>82410</v>
      </c>
      <c r="F8" s="111" t="s">
        <v>31</v>
      </c>
      <c r="G8" s="112" t="s">
        <v>240</v>
      </c>
      <c r="H8" s="113">
        <v>15266</v>
      </c>
      <c r="I8" s="113">
        <v>1982</v>
      </c>
      <c r="J8" s="112">
        <v>52</v>
      </c>
    </row>
    <row r="9" spans="1:10" ht="12.75" customHeight="1" x14ac:dyDescent="0.2">
      <c r="A9" s="114"/>
      <c r="B9" s="114" t="s">
        <v>251</v>
      </c>
      <c r="C9" s="114" t="s">
        <v>252</v>
      </c>
      <c r="D9" s="114" t="s">
        <v>253</v>
      </c>
      <c r="E9" s="115">
        <v>82421</v>
      </c>
      <c r="F9" s="114" t="s">
        <v>254</v>
      </c>
      <c r="G9" s="115" t="s">
        <v>245</v>
      </c>
      <c r="H9" s="116">
        <v>627</v>
      </c>
      <c r="I9" s="116">
        <v>202</v>
      </c>
      <c r="J9" s="115">
        <v>52</v>
      </c>
    </row>
    <row r="10" spans="1:10" ht="12.75" customHeight="1" x14ac:dyDescent="0.2">
      <c r="A10" s="114"/>
      <c r="B10" s="114" t="s">
        <v>255</v>
      </c>
      <c r="C10" s="114" t="s">
        <v>256</v>
      </c>
      <c r="D10" s="114" t="s">
        <v>257</v>
      </c>
      <c r="E10" s="115">
        <v>82423</v>
      </c>
      <c r="F10" s="114" t="s">
        <v>254</v>
      </c>
      <c r="G10" s="115" t="s">
        <v>245</v>
      </c>
      <c r="H10" s="116">
        <v>600</v>
      </c>
      <c r="I10" s="116">
        <v>206</v>
      </c>
      <c r="J10" s="115">
        <v>52</v>
      </c>
    </row>
    <row r="11" spans="1:10" ht="12.75" customHeight="1" x14ac:dyDescent="0.2">
      <c r="A11" s="114"/>
      <c r="B11" s="114" t="s">
        <v>258</v>
      </c>
      <c r="C11" s="114" t="s">
        <v>259</v>
      </c>
      <c r="D11" s="114" t="s">
        <v>260</v>
      </c>
      <c r="E11" s="115">
        <v>82426</v>
      </c>
      <c r="F11" s="114" t="s">
        <v>261</v>
      </c>
      <c r="G11" s="115" t="s">
        <v>245</v>
      </c>
      <c r="H11" s="116">
        <v>2500</v>
      </c>
      <c r="I11" s="116">
        <v>1238</v>
      </c>
      <c r="J11" s="115">
        <v>36</v>
      </c>
    </row>
    <row r="12" spans="1:10" ht="12.75" customHeight="1" x14ac:dyDescent="0.2">
      <c r="A12" s="114"/>
      <c r="B12" s="114" t="s">
        <v>262</v>
      </c>
      <c r="C12" s="114" t="s">
        <v>263</v>
      </c>
      <c r="D12" s="114" t="s">
        <v>264</v>
      </c>
      <c r="E12" s="115">
        <v>82431</v>
      </c>
      <c r="F12" s="114" t="s">
        <v>265</v>
      </c>
      <c r="G12" s="115" t="s">
        <v>245</v>
      </c>
      <c r="H12" s="116">
        <v>4630</v>
      </c>
      <c r="I12" s="116">
        <v>1857</v>
      </c>
      <c r="J12" s="115">
        <v>52</v>
      </c>
    </row>
    <row r="13" spans="1:10" ht="12.75" customHeight="1" x14ac:dyDescent="0.2">
      <c r="A13" s="117"/>
      <c r="B13" s="118"/>
      <c r="C13" s="118"/>
      <c r="D13" s="118"/>
      <c r="E13" s="119"/>
      <c r="F13" s="118"/>
      <c r="G13" s="119"/>
      <c r="H13" s="120"/>
      <c r="I13" s="120"/>
      <c r="J13" s="121"/>
    </row>
    <row r="14" spans="1:10" ht="12.75" customHeight="1" x14ac:dyDescent="0.2">
      <c r="A14" s="111" t="s">
        <v>266</v>
      </c>
      <c r="B14" s="111" t="s">
        <v>2</v>
      </c>
      <c r="C14" s="111" t="s">
        <v>267</v>
      </c>
      <c r="D14" s="111" t="s">
        <v>114</v>
      </c>
      <c r="E14" s="112">
        <v>82718</v>
      </c>
      <c r="F14" s="111" t="s">
        <v>43</v>
      </c>
      <c r="G14" s="112" t="s">
        <v>240</v>
      </c>
      <c r="H14" s="113">
        <v>46985</v>
      </c>
      <c r="I14" s="113">
        <v>3244</v>
      </c>
      <c r="J14" s="112">
        <v>52</v>
      </c>
    </row>
    <row r="15" spans="1:10" ht="12.75" customHeight="1" x14ac:dyDescent="0.2">
      <c r="A15" s="114"/>
      <c r="B15" s="114" t="s">
        <v>268</v>
      </c>
      <c r="C15" s="114" t="s">
        <v>269</v>
      </c>
      <c r="D15" s="114" t="s">
        <v>270</v>
      </c>
      <c r="E15" s="115">
        <v>82732</v>
      </c>
      <c r="F15" s="114" t="s">
        <v>271</v>
      </c>
      <c r="G15" s="115" t="s">
        <v>245</v>
      </c>
      <c r="H15" s="116">
        <v>13580</v>
      </c>
      <c r="I15" s="116">
        <v>2334</v>
      </c>
      <c r="J15" s="115">
        <v>52</v>
      </c>
    </row>
    <row r="16" spans="1:10" ht="12.75" customHeight="1" x14ac:dyDescent="0.2">
      <c r="A16" s="117"/>
      <c r="B16" s="118"/>
      <c r="C16" s="118"/>
      <c r="D16" s="118"/>
      <c r="E16" s="119"/>
      <c r="F16" s="118"/>
      <c r="G16" s="119"/>
      <c r="H16" s="120"/>
      <c r="I16" s="120"/>
      <c r="J16" s="121"/>
    </row>
    <row r="17" spans="1:10" ht="12.75" customHeight="1" x14ac:dyDescent="0.2">
      <c r="A17" s="111" t="s">
        <v>272</v>
      </c>
      <c r="B17" s="111" t="s">
        <v>273</v>
      </c>
      <c r="C17" s="111" t="s">
        <v>274</v>
      </c>
      <c r="D17" s="111" t="s">
        <v>123</v>
      </c>
      <c r="E17" s="112">
        <v>82301</v>
      </c>
      <c r="F17" s="111" t="s">
        <v>34</v>
      </c>
      <c r="G17" s="112" t="s">
        <v>240</v>
      </c>
      <c r="H17" s="113">
        <v>20350</v>
      </c>
      <c r="I17" s="113">
        <v>2236</v>
      </c>
      <c r="J17" s="112">
        <v>52</v>
      </c>
    </row>
    <row r="18" spans="1:10" ht="12.75" customHeight="1" x14ac:dyDescent="0.2">
      <c r="A18" s="114"/>
      <c r="B18" s="114" t="s">
        <v>515</v>
      </c>
      <c r="C18" s="114" t="s">
        <v>275</v>
      </c>
      <c r="D18" s="114" t="s">
        <v>276</v>
      </c>
      <c r="E18" s="115">
        <v>82321</v>
      </c>
      <c r="F18" s="114" t="s">
        <v>277</v>
      </c>
      <c r="G18" s="115" t="s">
        <v>245</v>
      </c>
      <c r="H18" s="116">
        <v>3100</v>
      </c>
      <c r="I18" s="116">
        <v>1040</v>
      </c>
      <c r="J18" s="115">
        <v>52</v>
      </c>
    </row>
    <row r="19" spans="1:10" ht="12.75" customHeight="1" x14ac:dyDescent="0.2">
      <c r="A19" s="114"/>
      <c r="B19" s="114" t="s">
        <v>278</v>
      </c>
      <c r="C19" s="114" t="s">
        <v>279</v>
      </c>
      <c r="D19" s="114" t="s">
        <v>280</v>
      </c>
      <c r="E19" s="115">
        <v>82324</v>
      </c>
      <c r="F19" s="114" t="s">
        <v>281</v>
      </c>
      <c r="G19" s="115" t="s">
        <v>245</v>
      </c>
      <c r="H19" s="116">
        <v>1400</v>
      </c>
      <c r="I19" s="116">
        <v>520</v>
      </c>
      <c r="J19" s="115">
        <v>52</v>
      </c>
    </row>
    <row r="20" spans="1:10" ht="12.75" customHeight="1" x14ac:dyDescent="0.2">
      <c r="A20" s="114"/>
      <c r="B20" s="114" t="s">
        <v>282</v>
      </c>
      <c r="C20" s="114" t="s">
        <v>283</v>
      </c>
      <c r="D20" s="114" t="s">
        <v>284</v>
      </c>
      <c r="E20" s="115">
        <v>82325</v>
      </c>
      <c r="F20" s="114" t="s">
        <v>285</v>
      </c>
      <c r="G20" s="115" t="s">
        <v>245</v>
      </c>
      <c r="H20" s="116">
        <v>3100</v>
      </c>
      <c r="I20" s="116">
        <v>1040</v>
      </c>
      <c r="J20" s="115">
        <v>52</v>
      </c>
    </row>
    <row r="21" spans="1:10" ht="12.75" customHeight="1" x14ac:dyDescent="0.2">
      <c r="A21" s="114"/>
      <c r="B21" s="114" t="s">
        <v>286</v>
      </c>
      <c r="C21" s="114" t="s">
        <v>287</v>
      </c>
      <c r="D21" s="114" t="s">
        <v>288</v>
      </c>
      <c r="E21" s="115">
        <v>82327</v>
      </c>
      <c r="F21" s="114" t="s">
        <v>289</v>
      </c>
      <c r="G21" s="115" t="s">
        <v>245</v>
      </c>
      <c r="H21" s="116">
        <v>2400</v>
      </c>
      <c r="I21" s="116">
        <v>520</v>
      </c>
      <c r="J21" s="115">
        <v>52</v>
      </c>
    </row>
    <row r="22" spans="1:10" ht="12.75" customHeight="1" x14ac:dyDescent="0.2">
      <c r="A22" s="114"/>
      <c r="B22" s="114" t="s">
        <v>290</v>
      </c>
      <c r="C22" s="114" t="s">
        <v>291</v>
      </c>
      <c r="D22" s="114" t="s">
        <v>292</v>
      </c>
      <c r="E22" s="115">
        <v>82329</v>
      </c>
      <c r="F22" s="114" t="s">
        <v>293</v>
      </c>
      <c r="G22" s="115" t="s">
        <v>245</v>
      </c>
      <c r="H22" s="116">
        <v>1150</v>
      </c>
      <c r="I22" s="116">
        <v>520</v>
      </c>
      <c r="J22" s="115">
        <v>52</v>
      </c>
    </row>
    <row r="23" spans="1:10" ht="12.75" customHeight="1" x14ac:dyDescent="0.2">
      <c r="A23" s="114"/>
      <c r="B23" s="114" t="s">
        <v>294</v>
      </c>
      <c r="C23" s="114" t="s">
        <v>295</v>
      </c>
      <c r="D23" s="114" t="s">
        <v>296</v>
      </c>
      <c r="E23" s="115">
        <v>82331</v>
      </c>
      <c r="F23" s="114" t="s">
        <v>297</v>
      </c>
      <c r="G23" s="115" t="s">
        <v>245</v>
      </c>
      <c r="H23" s="116">
        <v>4500</v>
      </c>
      <c r="I23" s="116">
        <v>1560</v>
      </c>
      <c r="J23" s="115">
        <v>52</v>
      </c>
    </row>
    <row r="24" spans="1:10" ht="12.75" customHeight="1" x14ac:dyDescent="0.2">
      <c r="A24" s="114"/>
      <c r="B24" s="114" t="s">
        <v>298</v>
      </c>
      <c r="C24" s="114" t="s">
        <v>299</v>
      </c>
      <c r="D24" s="114" t="s">
        <v>300</v>
      </c>
      <c r="E24" s="115">
        <v>82334</v>
      </c>
      <c r="F24" s="114" t="s">
        <v>301</v>
      </c>
      <c r="G24" s="115" t="s">
        <v>245</v>
      </c>
      <c r="H24" s="116">
        <v>1700</v>
      </c>
      <c r="I24" s="116">
        <v>260</v>
      </c>
      <c r="J24" s="115">
        <v>52</v>
      </c>
    </row>
    <row r="25" spans="1:10" ht="12.75" customHeight="1" x14ac:dyDescent="0.2">
      <c r="A25" s="117"/>
      <c r="B25" s="118"/>
      <c r="C25" s="118"/>
      <c r="D25" s="118"/>
      <c r="E25" s="119"/>
      <c r="F25" s="118"/>
      <c r="G25" s="119"/>
      <c r="H25" s="120"/>
      <c r="I25" s="120"/>
      <c r="J25" s="121"/>
    </row>
    <row r="26" spans="1:10" ht="12.75" customHeight="1" x14ac:dyDescent="0.2">
      <c r="A26" s="111" t="s">
        <v>302</v>
      </c>
      <c r="B26" s="111" t="s">
        <v>4</v>
      </c>
      <c r="C26" s="111" t="s">
        <v>96</v>
      </c>
      <c r="D26" s="111" t="s">
        <v>124</v>
      </c>
      <c r="E26" s="112">
        <v>82633</v>
      </c>
      <c r="F26" s="111" t="s">
        <v>33</v>
      </c>
      <c r="G26" s="112" t="s">
        <v>240</v>
      </c>
      <c r="H26" s="113">
        <v>30000</v>
      </c>
      <c r="I26" s="113">
        <v>2756</v>
      </c>
      <c r="J26" s="112">
        <v>52</v>
      </c>
    </row>
    <row r="27" spans="1:10" ht="12.75" customHeight="1" x14ac:dyDescent="0.2">
      <c r="A27" s="114"/>
      <c r="B27" s="114" t="s">
        <v>303</v>
      </c>
      <c r="C27" s="114" t="s">
        <v>304</v>
      </c>
      <c r="D27" s="114" t="s">
        <v>305</v>
      </c>
      <c r="E27" s="115">
        <v>82637</v>
      </c>
      <c r="F27" s="114" t="s">
        <v>306</v>
      </c>
      <c r="G27" s="115" t="s">
        <v>245</v>
      </c>
      <c r="H27" s="116">
        <v>17900</v>
      </c>
      <c r="I27" s="116">
        <v>2756</v>
      </c>
      <c r="J27" s="115">
        <v>52</v>
      </c>
    </row>
    <row r="28" spans="1:10" ht="12.75" customHeight="1" x14ac:dyDescent="0.2">
      <c r="A28" s="117"/>
      <c r="B28" s="118"/>
      <c r="C28" s="118"/>
      <c r="D28" s="118"/>
      <c r="E28" s="119"/>
      <c r="F28" s="118"/>
      <c r="G28" s="119"/>
      <c r="H28" s="120"/>
      <c r="I28" s="120"/>
      <c r="J28" s="121"/>
    </row>
    <row r="29" spans="1:10" ht="12.75" customHeight="1" x14ac:dyDescent="0.2">
      <c r="A29" s="111" t="s">
        <v>307</v>
      </c>
      <c r="B29" s="111" t="s">
        <v>5</v>
      </c>
      <c r="C29" s="111" t="s">
        <v>308</v>
      </c>
      <c r="D29" s="111" t="s">
        <v>131</v>
      </c>
      <c r="E29" s="112">
        <v>82729</v>
      </c>
      <c r="F29" s="111" t="s">
        <v>26</v>
      </c>
      <c r="G29" s="112" t="s">
        <v>240</v>
      </c>
      <c r="H29" s="113">
        <v>5404</v>
      </c>
      <c r="I29" s="113">
        <v>2000</v>
      </c>
      <c r="J29" s="112">
        <v>52</v>
      </c>
    </row>
    <row r="30" spans="1:10" ht="12.75" customHeight="1" x14ac:dyDescent="0.2">
      <c r="A30" s="114"/>
      <c r="B30" s="114" t="s">
        <v>309</v>
      </c>
      <c r="C30" s="114" t="s">
        <v>310</v>
      </c>
      <c r="D30" s="114" t="s">
        <v>311</v>
      </c>
      <c r="E30" s="115">
        <v>82720</v>
      </c>
      <c r="F30" s="114" t="s">
        <v>312</v>
      </c>
      <c r="G30" s="115" t="s">
        <v>245</v>
      </c>
      <c r="H30" s="116">
        <v>1440</v>
      </c>
      <c r="I30" s="116">
        <v>2000</v>
      </c>
      <c r="J30" s="115">
        <v>52</v>
      </c>
    </row>
    <row r="31" spans="1:10" ht="12.75" customHeight="1" x14ac:dyDescent="0.2">
      <c r="A31" s="114"/>
      <c r="B31" s="114" t="s">
        <v>313</v>
      </c>
      <c r="C31" s="114" t="s">
        <v>314</v>
      </c>
      <c r="D31" s="114" t="s">
        <v>315</v>
      </c>
      <c r="E31" s="115">
        <v>82721</v>
      </c>
      <c r="F31" s="114" t="s">
        <v>316</v>
      </c>
      <c r="G31" s="115" t="s">
        <v>245</v>
      </c>
      <c r="H31" s="116">
        <v>4890</v>
      </c>
      <c r="I31" s="116">
        <v>2000</v>
      </c>
      <c r="J31" s="115">
        <v>52</v>
      </c>
    </row>
    <row r="32" spans="1:10" ht="12.75" customHeight="1" x14ac:dyDescent="0.2">
      <c r="A32" s="117"/>
      <c r="B32" s="118"/>
      <c r="C32" s="118"/>
      <c r="D32" s="118"/>
      <c r="E32" s="119"/>
      <c r="F32" s="118"/>
      <c r="G32" s="119"/>
      <c r="H32" s="120"/>
      <c r="I32" s="120"/>
      <c r="J32" s="121"/>
    </row>
    <row r="33" spans="1:13" ht="12.75" customHeight="1" x14ac:dyDescent="0.2">
      <c r="A33" s="111" t="s">
        <v>317</v>
      </c>
      <c r="B33" s="111" t="s">
        <v>6</v>
      </c>
      <c r="C33" s="111" t="s">
        <v>88</v>
      </c>
      <c r="D33" s="111" t="s">
        <v>116</v>
      </c>
      <c r="E33" s="112">
        <v>82520</v>
      </c>
      <c r="F33" s="111" t="s">
        <v>41</v>
      </c>
      <c r="G33" s="112" t="s">
        <v>240</v>
      </c>
      <c r="H33" s="113">
        <v>30775</v>
      </c>
      <c r="I33" s="113">
        <v>1816</v>
      </c>
      <c r="J33" s="112">
        <v>52</v>
      </c>
    </row>
    <row r="34" spans="1:13" ht="12.75" customHeight="1" x14ac:dyDescent="0.2">
      <c r="A34" s="114"/>
      <c r="B34" s="114" t="s">
        <v>318</v>
      </c>
      <c r="C34" s="114" t="s">
        <v>319</v>
      </c>
      <c r="D34" s="114" t="s">
        <v>320</v>
      </c>
      <c r="E34" s="115">
        <v>82513</v>
      </c>
      <c r="F34" s="114" t="s">
        <v>321</v>
      </c>
      <c r="G34" s="115" t="s">
        <v>245</v>
      </c>
      <c r="H34" s="116">
        <v>6082</v>
      </c>
      <c r="I34" s="116">
        <v>1180</v>
      </c>
      <c r="J34" s="115">
        <v>52</v>
      </c>
    </row>
    <row r="35" spans="1:13" ht="12.75" customHeight="1" x14ac:dyDescent="0.2">
      <c r="A35" s="114"/>
      <c r="B35" s="114" t="s">
        <v>322</v>
      </c>
      <c r="C35" s="114" t="s">
        <v>323</v>
      </c>
      <c r="D35" s="114" t="s">
        <v>324</v>
      </c>
      <c r="E35" s="115">
        <v>82501</v>
      </c>
      <c r="F35" s="114" t="s">
        <v>325</v>
      </c>
      <c r="G35" s="115" t="s">
        <v>245</v>
      </c>
      <c r="H35" s="116">
        <v>31000</v>
      </c>
      <c r="I35" s="116">
        <v>1676</v>
      </c>
      <c r="J35" s="115">
        <v>52</v>
      </c>
    </row>
    <row r="36" spans="1:13" ht="12.75" customHeight="1" x14ac:dyDescent="0.2">
      <c r="A36" s="117"/>
      <c r="B36" s="118"/>
      <c r="C36" s="118"/>
      <c r="D36" s="118"/>
      <c r="E36" s="119"/>
      <c r="F36" s="118"/>
      <c r="G36" s="119"/>
      <c r="H36" s="120"/>
      <c r="I36" s="120"/>
      <c r="J36" s="121"/>
    </row>
    <row r="37" spans="1:13" ht="12.75" customHeight="1" x14ac:dyDescent="0.2">
      <c r="A37" s="111" t="s">
        <v>326</v>
      </c>
      <c r="B37" s="111" t="s">
        <v>7</v>
      </c>
      <c r="C37" s="111" t="s">
        <v>97</v>
      </c>
      <c r="D37" s="111" t="s">
        <v>125</v>
      </c>
      <c r="E37" s="112">
        <v>82240</v>
      </c>
      <c r="F37" s="111" t="s">
        <v>32</v>
      </c>
      <c r="G37" s="112" t="s">
        <v>240</v>
      </c>
      <c r="H37" s="113">
        <v>6940</v>
      </c>
      <c r="I37" s="113">
        <v>2093</v>
      </c>
      <c r="J37" s="112">
        <v>52</v>
      </c>
    </row>
    <row r="38" spans="1:13" ht="12.75" customHeight="1" x14ac:dyDescent="0.2">
      <c r="A38" s="117"/>
      <c r="B38" s="118"/>
      <c r="C38" s="118"/>
      <c r="D38" s="118"/>
      <c r="E38" s="119"/>
      <c r="F38" s="118"/>
      <c r="G38" s="119"/>
      <c r="H38" s="120"/>
      <c r="I38" s="120"/>
      <c r="J38" s="121"/>
    </row>
    <row r="39" spans="1:13" ht="12.75" customHeight="1" x14ac:dyDescent="0.2">
      <c r="A39" s="111" t="s">
        <v>327</v>
      </c>
      <c r="B39" s="111" t="s">
        <v>8</v>
      </c>
      <c r="C39" s="111" t="s">
        <v>104</v>
      </c>
      <c r="D39" s="111" t="s">
        <v>133</v>
      </c>
      <c r="E39" s="112">
        <v>82443</v>
      </c>
      <c r="F39" s="111" t="s">
        <v>24</v>
      </c>
      <c r="G39" s="112" t="s">
        <v>240</v>
      </c>
      <c r="H39" s="113">
        <v>12375</v>
      </c>
      <c r="I39" s="113">
        <v>2264</v>
      </c>
      <c r="J39" s="112">
        <v>44</v>
      </c>
    </row>
    <row r="40" spans="1:13" ht="12.75" customHeight="1" x14ac:dyDescent="0.2">
      <c r="A40" s="117"/>
      <c r="B40" s="118"/>
      <c r="C40" s="118"/>
      <c r="D40" s="118"/>
      <c r="E40" s="119"/>
      <c r="F40" s="118"/>
      <c r="G40" s="119"/>
      <c r="H40" s="120"/>
      <c r="I40" s="120"/>
      <c r="J40" s="121"/>
    </row>
    <row r="41" spans="1:13" ht="12.75" customHeight="1" x14ac:dyDescent="0.2">
      <c r="A41" s="111" t="s">
        <v>328</v>
      </c>
      <c r="B41" s="111" t="s">
        <v>9</v>
      </c>
      <c r="C41" s="111" t="s">
        <v>101</v>
      </c>
      <c r="D41" s="111" t="s">
        <v>129</v>
      </c>
      <c r="E41" s="112">
        <v>82834</v>
      </c>
      <c r="F41" s="111" t="s">
        <v>28</v>
      </c>
      <c r="G41" s="112" t="s">
        <v>240</v>
      </c>
      <c r="H41" s="113">
        <v>18500</v>
      </c>
      <c r="I41" s="113">
        <v>2236</v>
      </c>
      <c r="J41" s="112">
        <v>52</v>
      </c>
    </row>
    <row r="42" spans="1:13" ht="12.75" customHeight="1" x14ac:dyDescent="0.2">
      <c r="A42" s="114"/>
      <c r="B42" s="114" t="s">
        <v>329</v>
      </c>
      <c r="C42" s="114" t="s">
        <v>330</v>
      </c>
      <c r="D42" s="114" t="s">
        <v>331</v>
      </c>
      <c r="E42" s="115">
        <v>82639</v>
      </c>
      <c r="F42" s="114" t="s">
        <v>332</v>
      </c>
      <c r="G42" s="115" t="s">
        <v>245</v>
      </c>
      <c r="H42" s="116">
        <v>1987</v>
      </c>
      <c r="I42" s="116">
        <v>1106</v>
      </c>
      <c r="J42" s="115">
        <v>52</v>
      </c>
    </row>
    <row r="43" spans="1:13" ht="12.75" customHeight="1" x14ac:dyDescent="0.2">
      <c r="A43" s="117"/>
      <c r="B43" s="118"/>
      <c r="C43" s="118"/>
      <c r="D43" s="118"/>
      <c r="E43" s="119"/>
      <c r="F43" s="118"/>
      <c r="G43" s="119"/>
      <c r="H43" s="120"/>
      <c r="I43" s="120"/>
      <c r="J43" s="121"/>
    </row>
    <row r="44" spans="1:13" ht="12.75" customHeight="1" x14ac:dyDescent="0.2">
      <c r="A44" s="111" t="s">
        <v>117</v>
      </c>
      <c r="B44" s="111" t="s">
        <v>10</v>
      </c>
      <c r="C44" s="111" t="s">
        <v>84</v>
      </c>
      <c r="D44" s="111" t="s">
        <v>112</v>
      </c>
      <c r="E44" s="112">
        <v>82001</v>
      </c>
      <c r="F44" s="111" t="s">
        <v>45</v>
      </c>
      <c r="G44" s="112" t="s">
        <v>240</v>
      </c>
      <c r="H44" s="113">
        <v>103000</v>
      </c>
      <c r="I44" s="113">
        <v>3328</v>
      </c>
      <c r="J44" s="112">
        <v>52</v>
      </c>
    </row>
    <row r="45" spans="1:13" ht="12.75" customHeight="1" x14ac:dyDescent="0.2">
      <c r="A45" s="114"/>
      <c r="B45" s="114" t="s">
        <v>333</v>
      </c>
      <c r="C45" s="114" t="s">
        <v>84</v>
      </c>
      <c r="D45" s="114" t="s">
        <v>112</v>
      </c>
      <c r="E45" s="115">
        <v>82001</v>
      </c>
      <c r="F45" s="114" t="s">
        <v>45</v>
      </c>
      <c r="G45" s="115" t="s">
        <v>334</v>
      </c>
      <c r="H45" s="205">
        <v>235</v>
      </c>
      <c r="I45" s="116">
        <v>368</v>
      </c>
      <c r="J45" s="115">
        <v>40</v>
      </c>
    </row>
    <row r="46" spans="1:13" ht="12.75" customHeight="1" x14ac:dyDescent="0.2">
      <c r="A46" s="114"/>
      <c r="B46" s="114" t="s">
        <v>335</v>
      </c>
      <c r="C46" s="114" t="s">
        <v>336</v>
      </c>
      <c r="D46" s="114" t="s">
        <v>337</v>
      </c>
      <c r="E46" s="115">
        <v>82053</v>
      </c>
      <c r="F46" s="114" t="s">
        <v>338</v>
      </c>
      <c r="G46" s="115" t="s">
        <v>245</v>
      </c>
      <c r="H46" s="116">
        <v>4500</v>
      </c>
      <c r="I46" s="116">
        <v>1378</v>
      </c>
      <c r="J46" s="115">
        <v>52</v>
      </c>
    </row>
    <row r="47" spans="1:13" ht="12.75" customHeight="1" x14ac:dyDescent="0.2">
      <c r="A47" s="114"/>
      <c r="B47" s="114" t="s">
        <v>339</v>
      </c>
      <c r="C47" s="114" t="s">
        <v>340</v>
      </c>
      <c r="D47" s="114" t="s">
        <v>341</v>
      </c>
      <c r="E47" s="115">
        <v>82082</v>
      </c>
      <c r="F47" s="114" t="s">
        <v>342</v>
      </c>
      <c r="G47" s="115" t="s">
        <v>245</v>
      </c>
      <c r="H47" s="116">
        <v>3000</v>
      </c>
      <c r="I47" s="116">
        <v>1482</v>
      </c>
      <c r="J47" s="115">
        <v>52</v>
      </c>
    </row>
    <row r="48" spans="1:13" ht="12.75" customHeight="1" x14ac:dyDescent="0.2">
      <c r="A48" s="117"/>
      <c r="B48" s="118"/>
      <c r="C48" s="118"/>
      <c r="D48" s="118"/>
      <c r="E48" s="119"/>
      <c r="F48" s="118"/>
      <c r="G48" s="119"/>
      <c r="H48" s="120"/>
      <c r="I48" s="120"/>
      <c r="J48" s="121"/>
      <c r="M48" s="4"/>
    </row>
    <row r="49" spans="1:10" ht="12.75" customHeight="1" x14ac:dyDescent="0.2">
      <c r="A49" s="111" t="s">
        <v>343</v>
      </c>
      <c r="B49" s="111" t="s">
        <v>11</v>
      </c>
      <c r="C49" s="111" t="s">
        <v>344</v>
      </c>
      <c r="D49" s="111" t="s">
        <v>122</v>
      </c>
      <c r="E49" s="112">
        <v>83101</v>
      </c>
      <c r="F49" s="111" t="s">
        <v>35</v>
      </c>
      <c r="G49" s="112" t="s">
        <v>240</v>
      </c>
      <c r="H49" s="113">
        <v>12900</v>
      </c>
      <c r="I49" s="113">
        <v>2288</v>
      </c>
      <c r="J49" s="112">
        <v>52</v>
      </c>
    </row>
    <row r="50" spans="1:10" ht="12.75" customHeight="1" x14ac:dyDescent="0.2">
      <c r="A50" s="114"/>
      <c r="B50" s="114" t="s">
        <v>345</v>
      </c>
      <c r="C50" s="114" t="s">
        <v>346</v>
      </c>
      <c r="D50" s="114" t="s">
        <v>347</v>
      </c>
      <c r="E50" s="115">
        <v>83128</v>
      </c>
      <c r="F50" s="114" t="s">
        <v>348</v>
      </c>
      <c r="G50" s="115" t="s">
        <v>245</v>
      </c>
      <c r="H50" s="116">
        <v>4000</v>
      </c>
      <c r="I50" s="116">
        <v>2496</v>
      </c>
      <c r="J50" s="115">
        <v>52</v>
      </c>
    </row>
    <row r="51" spans="1:10" ht="12.75" customHeight="1" x14ac:dyDescent="0.2">
      <c r="A51" s="114"/>
      <c r="B51" s="114" t="s">
        <v>349</v>
      </c>
      <c r="C51" s="114" t="s">
        <v>350</v>
      </c>
      <c r="D51" s="114" t="s">
        <v>351</v>
      </c>
      <c r="E51" s="115">
        <v>83114</v>
      </c>
      <c r="F51" s="114" t="s">
        <v>352</v>
      </c>
      <c r="G51" s="115" t="s">
        <v>245</v>
      </c>
      <c r="H51" s="116">
        <v>4000</v>
      </c>
      <c r="I51" s="116">
        <v>2288</v>
      </c>
      <c r="J51" s="115">
        <v>52</v>
      </c>
    </row>
    <row r="52" spans="1:10" ht="12.75" customHeight="1" x14ac:dyDescent="0.2">
      <c r="A52" s="114"/>
      <c r="B52" s="114" t="s">
        <v>353</v>
      </c>
      <c r="C52" s="114" t="s">
        <v>354</v>
      </c>
      <c r="D52" s="114" t="s">
        <v>355</v>
      </c>
      <c r="E52" s="115">
        <v>83123</v>
      </c>
      <c r="F52" s="114" t="s">
        <v>356</v>
      </c>
      <c r="G52" s="115" t="s">
        <v>245</v>
      </c>
      <c r="H52" s="116">
        <v>1519</v>
      </c>
      <c r="I52" s="116">
        <v>1924</v>
      </c>
      <c r="J52" s="115">
        <v>52</v>
      </c>
    </row>
    <row r="53" spans="1:10" ht="12.75" customHeight="1" x14ac:dyDescent="0.2">
      <c r="A53" s="114"/>
      <c r="B53" s="114" t="s">
        <v>357</v>
      </c>
      <c r="C53" s="114" t="s">
        <v>358</v>
      </c>
      <c r="D53" s="114" t="s">
        <v>359</v>
      </c>
      <c r="E53" s="115">
        <v>83110</v>
      </c>
      <c r="F53" s="114" t="s">
        <v>360</v>
      </c>
      <c r="G53" s="115" t="s">
        <v>245</v>
      </c>
      <c r="H53" s="116">
        <v>6240</v>
      </c>
      <c r="I53" s="116">
        <v>2496</v>
      </c>
      <c r="J53" s="115">
        <v>52</v>
      </c>
    </row>
    <row r="54" spans="1:10" ht="12.75" customHeight="1" x14ac:dyDescent="0.2">
      <c r="A54" s="114"/>
      <c r="B54" s="114" t="s">
        <v>361</v>
      </c>
      <c r="C54" s="114" t="s">
        <v>362</v>
      </c>
      <c r="D54" s="114" t="s">
        <v>363</v>
      </c>
      <c r="E54" s="115">
        <v>83127</v>
      </c>
      <c r="F54" s="114" t="s">
        <v>364</v>
      </c>
      <c r="G54" s="115" t="s">
        <v>245</v>
      </c>
      <c r="H54" s="116">
        <v>3748</v>
      </c>
      <c r="I54" s="116">
        <v>2600</v>
      </c>
      <c r="J54" s="115">
        <v>52</v>
      </c>
    </row>
    <row r="55" spans="1:10" ht="12.75" customHeight="1" x14ac:dyDescent="0.2">
      <c r="A55" s="117"/>
      <c r="B55" s="118"/>
      <c r="C55" s="118"/>
      <c r="D55" s="118"/>
      <c r="E55" s="119"/>
      <c r="F55" s="118"/>
      <c r="G55" s="119"/>
      <c r="H55" s="120"/>
      <c r="I55" s="120"/>
      <c r="J55" s="121"/>
    </row>
    <row r="56" spans="1:10" ht="12.75" customHeight="1" x14ac:dyDescent="0.2">
      <c r="A56" s="111" t="s">
        <v>365</v>
      </c>
      <c r="B56" s="111" t="s">
        <v>12</v>
      </c>
      <c r="C56" s="111" t="s">
        <v>85</v>
      </c>
      <c r="D56" s="111" t="s">
        <v>113</v>
      </c>
      <c r="E56" s="112">
        <v>82601</v>
      </c>
      <c r="F56" s="111" t="s">
        <v>44</v>
      </c>
      <c r="G56" s="112" t="s">
        <v>240</v>
      </c>
      <c r="H56" s="113">
        <v>32682</v>
      </c>
      <c r="I56" s="113">
        <v>3044</v>
      </c>
      <c r="J56" s="112">
        <v>52</v>
      </c>
    </row>
    <row r="57" spans="1:10" ht="12.75" customHeight="1" x14ac:dyDescent="0.2">
      <c r="A57" s="114"/>
      <c r="B57" s="114" t="s">
        <v>366</v>
      </c>
      <c r="C57" s="114" t="s">
        <v>85</v>
      </c>
      <c r="D57" s="114" t="s">
        <v>113</v>
      </c>
      <c r="E57" s="115">
        <v>82601</v>
      </c>
      <c r="F57" s="114" t="s">
        <v>44</v>
      </c>
      <c r="G57" s="115" t="s">
        <v>334</v>
      </c>
      <c r="H57" s="205">
        <v>170</v>
      </c>
      <c r="I57" s="122">
        <v>900</v>
      </c>
      <c r="J57" s="115">
        <v>25</v>
      </c>
    </row>
    <row r="58" spans="1:10" ht="12.75" customHeight="1" x14ac:dyDescent="0.2">
      <c r="A58" s="114"/>
      <c r="B58" s="114" t="s">
        <v>367</v>
      </c>
      <c r="C58" s="114" t="s">
        <v>368</v>
      </c>
      <c r="D58" s="114" t="s">
        <v>369</v>
      </c>
      <c r="E58" s="115">
        <v>82635</v>
      </c>
      <c r="F58" s="114" t="s">
        <v>370</v>
      </c>
      <c r="G58" s="115" t="s">
        <v>245</v>
      </c>
      <c r="H58" s="204">
        <v>3430</v>
      </c>
      <c r="I58" s="122">
        <v>936</v>
      </c>
      <c r="J58" s="115">
        <v>52</v>
      </c>
    </row>
    <row r="59" spans="1:10" ht="12.75" customHeight="1" x14ac:dyDescent="0.2">
      <c r="A59" s="117"/>
      <c r="B59" s="118"/>
      <c r="C59" s="118"/>
      <c r="D59" s="118"/>
      <c r="E59" s="119"/>
      <c r="F59" s="118"/>
      <c r="G59" s="119"/>
      <c r="H59" s="120"/>
      <c r="I59" s="120"/>
      <c r="J59" s="121"/>
    </row>
    <row r="60" spans="1:10" ht="12.75" customHeight="1" x14ac:dyDescent="0.2">
      <c r="A60" s="111" t="s">
        <v>371</v>
      </c>
      <c r="B60" s="111" t="s">
        <v>13</v>
      </c>
      <c r="C60" s="111" t="s">
        <v>372</v>
      </c>
      <c r="D60" s="111" t="s">
        <v>134</v>
      </c>
      <c r="E60" s="112">
        <v>82225</v>
      </c>
      <c r="F60" s="111" t="s">
        <v>23</v>
      </c>
      <c r="G60" s="112" t="s">
        <v>240</v>
      </c>
      <c r="H60" s="113">
        <v>4950</v>
      </c>
      <c r="I60" s="113">
        <v>1954</v>
      </c>
      <c r="J60" s="112">
        <v>52</v>
      </c>
    </row>
    <row r="61" spans="1:10" ht="12.75" customHeight="1" x14ac:dyDescent="0.2">
      <c r="A61" s="117"/>
      <c r="B61" s="118"/>
      <c r="C61" s="118"/>
      <c r="D61" s="118"/>
      <c r="E61" s="119"/>
      <c r="F61" s="118"/>
      <c r="G61" s="119"/>
      <c r="H61" s="120"/>
      <c r="I61" s="120"/>
      <c r="J61" s="121"/>
    </row>
    <row r="62" spans="1:10" ht="12.75" customHeight="1" x14ac:dyDescent="0.2">
      <c r="A62" s="111" t="s">
        <v>373</v>
      </c>
      <c r="B62" s="111" t="s">
        <v>374</v>
      </c>
      <c r="C62" s="111" t="s">
        <v>91</v>
      </c>
      <c r="D62" s="111" t="s">
        <v>119</v>
      </c>
      <c r="E62" s="112">
        <v>82414</v>
      </c>
      <c r="F62" s="111" t="s">
        <v>38</v>
      </c>
      <c r="G62" s="112" t="s">
        <v>240</v>
      </c>
      <c r="H62" s="113">
        <v>27000</v>
      </c>
      <c r="I62" s="113">
        <v>2706</v>
      </c>
      <c r="J62" s="112">
        <v>52</v>
      </c>
    </row>
    <row r="63" spans="1:10" ht="12.75" customHeight="1" x14ac:dyDescent="0.2">
      <c r="A63" s="114"/>
      <c r="B63" s="114" t="s">
        <v>375</v>
      </c>
      <c r="C63" s="114" t="s">
        <v>376</v>
      </c>
      <c r="D63" s="114" t="s">
        <v>377</v>
      </c>
      <c r="E63" s="115">
        <v>82433</v>
      </c>
      <c r="F63" s="114" t="s">
        <v>378</v>
      </c>
      <c r="G63" s="115" t="s">
        <v>245</v>
      </c>
      <c r="H63" s="116">
        <v>2352</v>
      </c>
      <c r="I63" s="116">
        <v>2418</v>
      </c>
      <c r="J63" s="115">
        <v>52</v>
      </c>
    </row>
    <row r="64" spans="1:10" ht="12.75" customHeight="1" x14ac:dyDescent="0.2">
      <c r="A64" s="114"/>
      <c r="B64" s="114" t="s">
        <v>379</v>
      </c>
      <c r="C64" s="114" t="s">
        <v>380</v>
      </c>
      <c r="D64" s="114" t="s">
        <v>381</v>
      </c>
      <c r="E64" s="115">
        <v>82435</v>
      </c>
      <c r="F64" s="114" t="s">
        <v>382</v>
      </c>
      <c r="G64" s="115" t="s">
        <v>245</v>
      </c>
      <c r="H64" s="116">
        <v>12000</v>
      </c>
      <c r="I64" s="116">
        <v>2333</v>
      </c>
      <c r="J64" s="115">
        <v>52</v>
      </c>
    </row>
    <row r="65" spans="1:10" ht="12.75" customHeight="1" x14ac:dyDescent="0.2">
      <c r="A65" s="117"/>
      <c r="B65" s="118"/>
      <c r="C65" s="118"/>
      <c r="D65" s="118"/>
      <c r="E65" s="119"/>
      <c r="F65" s="118"/>
      <c r="G65" s="119"/>
      <c r="H65" s="120"/>
      <c r="I65" s="120"/>
      <c r="J65" s="121"/>
    </row>
    <row r="66" spans="1:10" ht="12.75" customHeight="1" x14ac:dyDescent="0.2">
      <c r="A66" s="111" t="s">
        <v>383</v>
      </c>
      <c r="B66" s="111" t="s">
        <v>15</v>
      </c>
      <c r="C66" s="111" t="s">
        <v>100</v>
      </c>
      <c r="D66" s="111" t="s">
        <v>128</v>
      </c>
      <c r="E66" s="112">
        <v>82201</v>
      </c>
      <c r="F66" s="111" t="s">
        <v>29</v>
      </c>
      <c r="G66" s="112" t="s">
        <v>240</v>
      </c>
      <c r="H66" s="113">
        <v>11800</v>
      </c>
      <c r="I66" s="113">
        <v>2652</v>
      </c>
      <c r="J66" s="112">
        <v>52</v>
      </c>
    </row>
    <row r="67" spans="1:10" ht="12.75" customHeight="1" x14ac:dyDescent="0.2">
      <c r="A67" s="114"/>
      <c r="B67" s="114" t="s">
        <v>384</v>
      </c>
      <c r="C67" s="114" t="s">
        <v>385</v>
      </c>
      <c r="D67" s="114" t="s">
        <v>386</v>
      </c>
      <c r="E67" s="115">
        <v>82210</v>
      </c>
      <c r="F67" s="114" t="s">
        <v>387</v>
      </c>
      <c r="G67" s="115" t="s">
        <v>245</v>
      </c>
      <c r="H67" s="116">
        <v>534</v>
      </c>
      <c r="I67" s="116">
        <v>468</v>
      </c>
      <c r="J67" s="115">
        <v>52</v>
      </c>
    </row>
    <row r="68" spans="1:10" ht="12.75" customHeight="1" x14ac:dyDescent="0.2">
      <c r="A68" s="114"/>
      <c r="B68" s="114" t="s">
        <v>388</v>
      </c>
      <c r="C68" s="114" t="s">
        <v>389</v>
      </c>
      <c r="D68" s="114" t="s">
        <v>390</v>
      </c>
      <c r="E68" s="115">
        <v>82213</v>
      </c>
      <c r="F68" s="114" t="s">
        <v>391</v>
      </c>
      <c r="G68" s="115" t="s">
        <v>245</v>
      </c>
      <c r="H68" s="116">
        <v>450</v>
      </c>
      <c r="I68" s="116">
        <v>520</v>
      </c>
      <c r="J68" s="115">
        <v>52</v>
      </c>
    </row>
    <row r="69" spans="1:10" ht="12.75" customHeight="1" x14ac:dyDescent="0.2">
      <c r="A69" s="114"/>
      <c r="B69" s="114" t="s">
        <v>392</v>
      </c>
      <c r="C69" s="114" t="s">
        <v>393</v>
      </c>
      <c r="D69" s="114" t="s">
        <v>394</v>
      </c>
      <c r="E69" s="115">
        <v>82214</v>
      </c>
      <c r="F69" s="114" t="s">
        <v>395</v>
      </c>
      <c r="G69" s="115" t="s">
        <v>245</v>
      </c>
      <c r="H69" s="116">
        <v>1242</v>
      </c>
      <c r="I69" s="116">
        <v>1872</v>
      </c>
      <c r="J69" s="115">
        <v>52</v>
      </c>
    </row>
    <row r="70" spans="1:10" ht="12.75" customHeight="1" x14ac:dyDescent="0.2">
      <c r="A70" s="117"/>
      <c r="B70" s="118"/>
      <c r="C70" s="118"/>
      <c r="D70" s="118"/>
      <c r="E70" s="119"/>
      <c r="F70" s="118"/>
      <c r="G70" s="119"/>
      <c r="H70" s="120"/>
      <c r="I70" s="120"/>
      <c r="J70" s="121"/>
    </row>
    <row r="71" spans="1:10" ht="12.75" customHeight="1" x14ac:dyDescent="0.2">
      <c r="A71" s="111" t="s">
        <v>118</v>
      </c>
      <c r="B71" s="111" t="s">
        <v>396</v>
      </c>
      <c r="C71" s="111" t="s">
        <v>90</v>
      </c>
      <c r="D71" s="111" t="s">
        <v>118</v>
      </c>
      <c r="E71" s="112">
        <v>82801</v>
      </c>
      <c r="F71" s="111" t="s">
        <v>39</v>
      </c>
      <c r="G71" s="112" t="s">
        <v>240</v>
      </c>
      <c r="H71" s="113">
        <v>30130</v>
      </c>
      <c r="I71" s="113">
        <v>2912</v>
      </c>
      <c r="J71" s="112">
        <v>52</v>
      </c>
    </row>
    <row r="72" spans="1:10" ht="12.75" customHeight="1" x14ac:dyDescent="0.2">
      <c r="A72" s="114"/>
      <c r="B72" s="114" t="s">
        <v>397</v>
      </c>
      <c r="C72" s="114" t="s">
        <v>398</v>
      </c>
      <c r="D72" s="114" t="s">
        <v>399</v>
      </c>
      <c r="E72" s="115">
        <v>82835</v>
      </c>
      <c r="F72" s="114" t="s">
        <v>400</v>
      </c>
      <c r="G72" s="115" t="s">
        <v>245</v>
      </c>
      <c r="H72" s="116">
        <v>1020</v>
      </c>
      <c r="I72" s="116">
        <v>1144</v>
      </c>
      <c r="J72" s="115">
        <v>52</v>
      </c>
    </row>
    <row r="73" spans="1:10" ht="12.75" customHeight="1" x14ac:dyDescent="0.2">
      <c r="A73" s="114"/>
      <c r="B73" s="114" t="s">
        <v>401</v>
      </c>
      <c r="C73" s="114" t="s">
        <v>402</v>
      </c>
      <c r="D73" s="114" t="s">
        <v>403</v>
      </c>
      <c r="E73" s="115">
        <v>82842</v>
      </c>
      <c r="F73" s="114" t="s">
        <v>404</v>
      </c>
      <c r="G73" s="115" t="s">
        <v>245</v>
      </c>
      <c r="H73" s="116">
        <v>2551</v>
      </c>
      <c r="I73" s="116">
        <v>1508</v>
      </c>
      <c r="J73" s="115">
        <v>52</v>
      </c>
    </row>
    <row r="74" spans="1:10" ht="12.75" customHeight="1" x14ac:dyDescent="0.2">
      <c r="A74" s="114"/>
      <c r="B74" s="114" t="s">
        <v>405</v>
      </c>
      <c r="C74" s="114" t="s">
        <v>406</v>
      </c>
      <c r="D74" s="114" t="s">
        <v>407</v>
      </c>
      <c r="E74" s="115">
        <v>82839</v>
      </c>
      <c r="F74" s="114" t="s">
        <v>408</v>
      </c>
      <c r="G74" s="115" t="s">
        <v>245</v>
      </c>
      <c r="H74" s="116">
        <v>4000</v>
      </c>
      <c r="I74" s="116">
        <v>1820</v>
      </c>
      <c r="J74" s="115">
        <v>52</v>
      </c>
    </row>
    <row r="75" spans="1:10" ht="12.75" customHeight="1" x14ac:dyDescent="0.2">
      <c r="A75" s="117"/>
      <c r="B75" s="118"/>
      <c r="C75" s="118"/>
      <c r="D75" s="118"/>
      <c r="E75" s="119"/>
      <c r="F75" s="118"/>
      <c r="G75" s="119"/>
      <c r="H75" s="120"/>
      <c r="I75" s="120"/>
      <c r="J75" s="121"/>
    </row>
    <row r="76" spans="1:10" ht="12.75" customHeight="1" x14ac:dyDescent="0.2">
      <c r="A76" s="111" t="s">
        <v>409</v>
      </c>
      <c r="B76" s="111" t="s">
        <v>410</v>
      </c>
      <c r="C76" s="111" t="s">
        <v>99</v>
      </c>
      <c r="D76" s="111" t="s">
        <v>127</v>
      </c>
      <c r="E76" s="112">
        <v>82941</v>
      </c>
      <c r="F76" s="111" t="s">
        <v>411</v>
      </c>
      <c r="G76" s="112" t="s">
        <v>240</v>
      </c>
      <c r="H76" s="113">
        <v>18500</v>
      </c>
      <c r="I76" s="113">
        <v>2860</v>
      </c>
      <c r="J76" s="112">
        <v>52</v>
      </c>
    </row>
    <row r="77" spans="1:10" ht="12.75" customHeight="1" x14ac:dyDescent="0.2">
      <c r="A77" s="114"/>
      <c r="B77" s="114" t="s">
        <v>412</v>
      </c>
      <c r="C77" s="114" t="s">
        <v>413</v>
      </c>
      <c r="D77" s="114" t="s">
        <v>414</v>
      </c>
      <c r="E77" s="115">
        <v>83113</v>
      </c>
      <c r="F77" s="114" t="s">
        <v>415</v>
      </c>
      <c r="G77" s="115" t="s">
        <v>245</v>
      </c>
      <c r="H77" s="116">
        <v>9000</v>
      </c>
      <c r="I77" s="116">
        <v>2418</v>
      </c>
      <c r="J77" s="115">
        <v>52</v>
      </c>
    </row>
    <row r="78" spans="1:10" ht="12.75" customHeight="1" x14ac:dyDescent="0.2">
      <c r="A78" s="117"/>
      <c r="B78" s="118"/>
      <c r="C78" s="118"/>
      <c r="D78" s="118"/>
      <c r="E78" s="119"/>
      <c r="F78" s="118"/>
      <c r="G78" s="119"/>
      <c r="H78" s="120"/>
      <c r="I78" s="120"/>
      <c r="J78" s="121"/>
    </row>
    <row r="79" spans="1:10" ht="12.75" customHeight="1" x14ac:dyDescent="0.2">
      <c r="A79" s="111" t="s">
        <v>416</v>
      </c>
      <c r="B79" s="111" t="s">
        <v>417</v>
      </c>
      <c r="C79" s="111" t="s">
        <v>418</v>
      </c>
      <c r="D79" s="111" t="s">
        <v>115</v>
      </c>
      <c r="E79" s="112">
        <v>82935</v>
      </c>
      <c r="F79" s="111" t="s">
        <v>419</v>
      </c>
      <c r="G79" s="112" t="s">
        <v>240</v>
      </c>
      <c r="H79" s="113">
        <v>15500</v>
      </c>
      <c r="I79" s="113">
        <v>2456</v>
      </c>
      <c r="J79" s="112">
        <v>52</v>
      </c>
    </row>
    <row r="80" spans="1:10" ht="12.75" customHeight="1" x14ac:dyDescent="0.2">
      <c r="A80" s="114"/>
      <c r="B80" s="114" t="s">
        <v>420</v>
      </c>
      <c r="C80" s="114" t="s">
        <v>421</v>
      </c>
      <c r="D80" s="114" t="s">
        <v>422</v>
      </c>
      <c r="E80" s="115">
        <v>82322</v>
      </c>
      <c r="F80" s="114" t="s">
        <v>423</v>
      </c>
      <c r="G80" s="115" t="s">
        <v>245</v>
      </c>
      <c r="H80" s="116">
        <v>980</v>
      </c>
      <c r="I80" s="116">
        <v>520</v>
      </c>
      <c r="J80" s="115">
        <v>52</v>
      </c>
    </row>
    <row r="81" spans="1:10" ht="12.75" customHeight="1" x14ac:dyDescent="0.2">
      <c r="A81" s="114"/>
      <c r="B81" s="114" t="s">
        <v>424</v>
      </c>
      <c r="C81" s="114" t="s">
        <v>425</v>
      </c>
      <c r="D81" s="114" t="s">
        <v>426</v>
      </c>
      <c r="E81" s="115">
        <v>82901</v>
      </c>
      <c r="F81" s="114" t="s">
        <v>427</v>
      </c>
      <c r="G81" s="115" t="s">
        <v>245</v>
      </c>
      <c r="H81" s="116">
        <v>3674</v>
      </c>
      <c r="I81" s="116">
        <v>2184</v>
      </c>
      <c r="J81" s="115">
        <v>52</v>
      </c>
    </row>
    <row r="82" spans="1:10" ht="12.75" customHeight="1" x14ac:dyDescent="0.2">
      <c r="A82" s="114"/>
      <c r="B82" s="114" t="s">
        <v>428</v>
      </c>
      <c r="C82" s="114" t="s">
        <v>429</v>
      </c>
      <c r="D82" s="114" t="s">
        <v>430</v>
      </c>
      <c r="E82" s="115">
        <v>82932</v>
      </c>
      <c r="F82" s="114" t="s">
        <v>431</v>
      </c>
      <c r="G82" s="115" t="s">
        <v>245</v>
      </c>
      <c r="H82" s="116">
        <v>1000</v>
      </c>
      <c r="I82" s="116">
        <v>520</v>
      </c>
      <c r="J82" s="115">
        <v>52</v>
      </c>
    </row>
    <row r="83" spans="1:10" ht="12.75" customHeight="1" x14ac:dyDescent="0.2">
      <c r="A83" s="114"/>
      <c r="B83" s="114" t="s">
        <v>432</v>
      </c>
      <c r="C83" s="114" t="s">
        <v>433</v>
      </c>
      <c r="D83" s="114" t="s">
        <v>434</v>
      </c>
      <c r="E83" s="115">
        <v>82934</v>
      </c>
      <c r="F83" s="114" t="s">
        <v>435</v>
      </c>
      <c r="G83" s="115" t="s">
        <v>245</v>
      </c>
      <c r="H83" s="116">
        <v>1260</v>
      </c>
      <c r="I83" s="116">
        <v>520</v>
      </c>
      <c r="J83" s="115">
        <v>52</v>
      </c>
    </row>
    <row r="84" spans="1:10" ht="12.75" customHeight="1" x14ac:dyDescent="0.2">
      <c r="A84" s="114"/>
      <c r="B84" s="114" t="s">
        <v>436</v>
      </c>
      <c r="C84" s="114" t="s">
        <v>437</v>
      </c>
      <c r="D84" s="114" t="s">
        <v>438</v>
      </c>
      <c r="E84" s="115">
        <v>82943</v>
      </c>
      <c r="F84" s="114" t="s">
        <v>439</v>
      </c>
      <c r="G84" s="115" t="s">
        <v>245</v>
      </c>
      <c r="H84" s="116">
        <v>1200</v>
      </c>
      <c r="I84" s="116">
        <v>520</v>
      </c>
      <c r="J84" s="115">
        <v>52</v>
      </c>
    </row>
    <row r="85" spans="1:10" ht="12.75" customHeight="1" x14ac:dyDescent="0.2">
      <c r="A85" s="114"/>
      <c r="B85" s="114" t="s">
        <v>440</v>
      </c>
      <c r="C85" s="114" t="s">
        <v>425</v>
      </c>
      <c r="D85" s="114" t="s">
        <v>426</v>
      </c>
      <c r="E85" s="115">
        <v>82901</v>
      </c>
      <c r="F85" s="114" t="s">
        <v>441</v>
      </c>
      <c r="G85" s="115" t="s">
        <v>245</v>
      </c>
      <c r="H85" s="116">
        <v>21000</v>
      </c>
      <c r="I85" s="116">
        <v>2456</v>
      </c>
      <c r="J85" s="115">
        <v>52</v>
      </c>
    </row>
    <row r="86" spans="1:10" ht="12.75" customHeight="1" x14ac:dyDescent="0.2">
      <c r="A86" s="114"/>
      <c r="B86" s="114" t="s">
        <v>442</v>
      </c>
      <c r="C86" s="114" t="s">
        <v>443</v>
      </c>
      <c r="D86" s="114" t="s">
        <v>444</v>
      </c>
      <c r="E86" s="115">
        <v>82945</v>
      </c>
      <c r="F86" s="114" t="s">
        <v>445</v>
      </c>
      <c r="G86" s="115" t="s">
        <v>245</v>
      </c>
      <c r="H86" s="116">
        <v>1200</v>
      </c>
      <c r="I86" s="116">
        <v>520</v>
      </c>
      <c r="J86" s="115">
        <v>52</v>
      </c>
    </row>
    <row r="87" spans="1:10" ht="12.75" customHeight="1" x14ac:dyDescent="0.2">
      <c r="A87" s="114"/>
      <c r="B87" s="114" t="s">
        <v>446</v>
      </c>
      <c r="C87" s="114" t="s">
        <v>447</v>
      </c>
      <c r="D87" s="114" t="s">
        <v>448</v>
      </c>
      <c r="E87" s="115">
        <v>82336</v>
      </c>
      <c r="F87" s="114" t="s">
        <v>449</v>
      </c>
      <c r="G87" s="115" t="s">
        <v>245</v>
      </c>
      <c r="H87" s="116">
        <v>1200</v>
      </c>
      <c r="I87" s="116">
        <v>520</v>
      </c>
      <c r="J87" s="115">
        <v>52</v>
      </c>
    </row>
    <row r="88" spans="1:10" ht="12.75" customHeight="1" x14ac:dyDescent="0.2">
      <c r="A88" s="114"/>
      <c r="B88" s="114" t="s">
        <v>450</v>
      </c>
      <c r="C88" s="114" t="s">
        <v>451</v>
      </c>
      <c r="D88" s="114" t="s">
        <v>426</v>
      </c>
      <c r="E88" s="115">
        <v>82901</v>
      </c>
      <c r="F88" s="114" t="s">
        <v>452</v>
      </c>
      <c r="G88" s="115" t="s">
        <v>245</v>
      </c>
      <c r="H88" s="116">
        <v>28500</v>
      </c>
      <c r="I88" s="116">
        <v>2252</v>
      </c>
      <c r="J88" s="115">
        <v>52</v>
      </c>
    </row>
    <row r="89" spans="1:10" ht="12.75" customHeight="1" x14ac:dyDescent="0.2">
      <c r="A89" s="117"/>
      <c r="B89" s="118"/>
      <c r="C89" s="118"/>
      <c r="D89" s="118"/>
      <c r="E89" s="119"/>
      <c r="F89" s="118"/>
      <c r="G89" s="119"/>
      <c r="H89" s="120"/>
      <c r="I89" s="120"/>
      <c r="J89" s="121"/>
    </row>
    <row r="90" spans="1:10" ht="12.75" customHeight="1" x14ac:dyDescent="0.2">
      <c r="A90" s="111" t="s">
        <v>453</v>
      </c>
      <c r="B90" s="111" t="s">
        <v>19</v>
      </c>
      <c r="C90" s="111" t="s">
        <v>454</v>
      </c>
      <c r="D90" s="111" t="s">
        <v>120</v>
      </c>
      <c r="E90" s="112">
        <v>83001</v>
      </c>
      <c r="F90" s="111" t="s">
        <v>37</v>
      </c>
      <c r="G90" s="112" t="s">
        <v>240</v>
      </c>
      <c r="H90" s="113">
        <v>35360</v>
      </c>
      <c r="I90" s="113">
        <v>2920</v>
      </c>
      <c r="J90" s="112">
        <v>52</v>
      </c>
    </row>
    <row r="91" spans="1:10" ht="12.75" customHeight="1" x14ac:dyDescent="0.2">
      <c r="A91" s="114"/>
      <c r="B91" s="114" t="s">
        <v>455</v>
      </c>
      <c r="C91" s="114" t="s">
        <v>456</v>
      </c>
      <c r="D91" s="114" t="s">
        <v>457</v>
      </c>
      <c r="E91" s="115">
        <v>83414</v>
      </c>
      <c r="F91" s="114" t="s">
        <v>458</v>
      </c>
      <c r="G91" s="115" t="s">
        <v>245</v>
      </c>
      <c r="H91" s="116">
        <v>2000</v>
      </c>
      <c r="I91" s="116">
        <v>1594</v>
      </c>
      <c r="J91" s="115">
        <v>52</v>
      </c>
    </row>
    <row r="92" spans="1:10" ht="12.75" customHeight="1" x14ac:dyDescent="0.2">
      <c r="A92" s="117"/>
      <c r="B92" s="118"/>
      <c r="C92" s="118"/>
      <c r="D92" s="118"/>
      <c r="E92" s="119"/>
      <c r="F92" s="118"/>
      <c r="G92" s="119"/>
      <c r="H92" s="120"/>
      <c r="I92" s="120"/>
      <c r="J92" s="121"/>
    </row>
    <row r="93" spans="1:10" ht="12.75" customHeight="1" x14ac:dyDescent="0.2">
      <c r="A93" s="111" t="s">
        <v>459</v>
      </c>
      <c r="B93" s="111" t="s">
        <v>20</v>
      </c>
      <c r="C93" s="111" t="s">
        <v>93</v>
      </c>
      <c r="D93" s="111" t="s">
        <v>121</v>
      </c>
      <c r="E93" s="112">
        <v>82930</v>
      </c>
      <c r="F93" s="111" t="s">
        <v>36</v>
      </c>
      <c r="G93" s="112" t="s">
        <v>240</v>
      </c>
      <c r="H93" s="113">
        <v>24491</v>
      </c>
      <c r="I93" s="113">
        <v>1713</v>
      </c>
      <c r="J93" s="112">
        <v>52</v>
      </c>
    </row>
    <row r="94" spans="1:10" ht="12.75" customHeight="1" x14ac:dyDescent="0.2">
      <c r="A94" s="114"/>
      <c r="B94" s="114" t="s">
        <v>460</v>
      </c>
      <c r="C94" s="114" t="s">
        <v>461</v>
      </c>
      <c r="D94" s="114" t="s">
        <v>462</v>
      </c>
      <c r="E94" s="115">
        <v>82937</v>
      </c>
      <c r="F94" s="114" t="s">
        <v>463</v>
      </c>
      <c r="G94" s="115" t="s">
        <v>245</v>
      </c>
      <c r="H94" s="116">
        <v>3220</v>
      </c>
      <c r="I94" s="116">
        <v>1115</v>
      </c>
      <c r="J94" s="115">
        <v>52</v>
      </c>
    </row>
    <row r="95" spans="1:10" ht="12.75" customHeight="1" x14ac:dyDescent="0.2">
      <c r="A95" s="114"/>
      <c r="B95" s="114" t="s">
        <v>464</v>
      </c>
      <c r="C95" s="114" t="s">
        <v>465</v>
      </c>
      <c r="D95" s="114" t="s">
        <v>466</v>
      </c>
      <c r="E95" s="115">
        <v>82939</v>
      </c>
      <c r="F95" s="114" t="s">
        <v>467</v>
      </c>
      <c r="G95" s="115" t="s">
        <v>245</v>
      </c>
      <c r="H95" s="116">
        <v>3275</v>
      </c>
      <c r="I95" s="116">
        <v>1194</v>
      </c>
      <c r="J95" s="115">
        <v>52</v>
      </c>
    </row>
    <row r="96" spans="1:10" ht="12.75" customHeight="1" x14ac:dyDescent="0.2">
      <c r="A96" s="117"/>
      <c r="B96" s="118"/>
      <c r="C96" s="118"/>
      <c r="D96" s="118"/>
      <c r="E96" s="119"/>
      <c r="F96" s="118"/>
      <c r="G96" s="119"/>
      <c r="H96" s="120"/>
      <c r="I96" s="120"/>
      <c r="J96" s="121"/>
    </row>
    <row r="97" spans="1:10" ht="12.75" customHeight="1" x14ac:dyDescent="0.2">
      <c r="A97" s="111" t="s">
        <v>468</v>
      </c>
      <c r="B97" s="111" t="s">
        <v>21</v>
      </c>
      <c r="C97" s="111" t="s">
        <v>494</v>
      </c>
      <c r="D97" s="111" t="s">
        <v>130</v>
      </c>
      <c r="E97" s="112">
        <v>82401</v>
      </c>
      <c r="F97" s="111" t="s">
        <v>27</v>
      </c>
      <c r="G97" s="112" t="s">
        <v>240</v>
      </c>
      <c r="H97" s="113">
        <v>12000</v>
      </c>
      <c r="I97" s="113">
        <v>2468</v>
      </c>
      <c r="J97" s="112">
        <v>52</v>
      </c>
    </row>
    <row r="98" spans="1:10" ht="12.75" customHeight="1" x14ac:dyDescent="0.2">
      <c r="A98" s="114"/>
      <c r="B98" s="114" t="s">
        <v>469</v>
      </c>
      <c r="C98" s="114" t="s">
        <v>470</v>
      </c>
      <c r="D98" s="114" t="s">
        <v>471</v>
      </c>
      <c r="E98" s="115">
        <v>82442</v>
      </c>
      <c r="F98" s="114" t="s">
        <v>472</v>
      </c>
      <c r="G98" s="115" t="s">
        <v>245</v>
      </c>
      <c r="H98" s="116">
        <v>4800</v>
      </c>
      <c r="I98" s="116">
        <v>1996</v>
      </c>
      <c r="J98" s="115">
        <v>42</v>
      </c>
    </row>
    <row r="99" spans="1:10" ht="12.75" customHeight="1" x14ac:dyDescent="0.2">
      <c r="A99" s="117"/>
      <c r="B99" s="118"/>
      <c r="C99" s="118"/>
      <c r="D99" s="118"/>
      <c r="E99" s="119"/>
      <c r="F99" s="118"/>
      <c r="G99" s="119"/>
      <c r="H99" s="120"/>
      <c r="I99" s="120"/>
      <c r="J99" s="121"/>
    </row>
    <row r="100" spans="1:10" ht="12.75" customHeight="1" x14ac:dyDescent="0.2">
      <c r="A100" s="111" t="s">
        <v>473</v>
      </c>
      <c r="B100" s="111" t="s">
        <v>22</v>
      </c>
      <c r="C100" s="111" t="s">
        <v>103</v>
      </c>
      <c r="D100" s="111" t="s">
        <v>132</v>
      </c>
      <c r="E100" s="112">
        <v>82701</v>
      </c>
      <c r="F100" s="111" t="s">
        <v>25</v>
      </c>
      <c r="G100" s="112" t="s">
        <v>240</v>
      </c>
      <c r="H100" s="113">
        <v>6848</v>
      </c>
      <c r="I100" s="113">
        <v>2210</v>
      </c>
      <c r="J100" s="112">
        <v>52</v>
      </c>
    </row>
    <row r="101" spans="1:10" ht="12.75" customHeight="1" x14ac:dyDescent="0.2">
      <c r="A101" s="114"/>
      <c r="B101" s="114" t="s">
        <v>474</v>
      </c>
      <c r="C101" s="114" t="s">
        <v>475</v>
      </c>
      <c r="D101" s="114" t="s">
        <v>476</v>
      </c>
      <c r="E101" s="115">
        <v>82730</v>
      </c>
      <c r="F101" s="114" t="s">
        <v>477</v>
      </c>
      <c r="G101" s="115" t="s">
        <v>245</v>
      </c>
      <c r="H101" s="116">
        <v>2305</v>
      </c>
      <c r="I101" s="116">
        <v>1300</v>
      </c>
      <c r="J101" s="115">
        <v>52</v>
      </c>
    </row>
    <row r="102" spans="1:10" ht="12.75" customHeight="1" x14ac:dyDescent="0.2">
      <c r="B102" s="1"/>
    </row>
    <row r="103" spans="1:10" ht="12.75" customHeight="1" x14ac:dyDescent="0.2">
      <c r="B103" s="1"/>
    </row>
    <row r="104" spans="1:10" ht="12.75" customHeight="1" x14ac:dyDescent="0.2">
      <c r="B104" s="1"/>
    </row>
    <row r="105" spans="1:10" ht="12.75" customHeight="1" x14ac:dyDescent="0.2">
      <c r="B105" s="1"/>
    </row>
    <row r="106" spans="1:10" ht="12.75" customHeight="1" x14ac:dyDescent="0.2">
      <c r="B106" s="1"/>
    </row>
    <row r="107" spans="1:10" ht="12.75" customHeight="1" x14ac:dyDescent="0.2">
      <c r="B107" s="1"/>
    </row>
    <row r="108" spans="1:10" ht="12.75" customHeight="1" x14ac:dyDescent="0.2">
      <c r="B108" s="1"/>
    </row>
    <row r="109" spans="1:10" ht="12.75" customHeight="1" x14ac:dyDescent="0.2">
      <c r="B109" s="1"/>
    </row>
    <row r="110" spans="1:10" ht="12.75" customHeight="1" x14ac:dyDescent="0.2">
      <c r="B110" s="1"/>
    </row>
    <row r="111" spans="1:10" ht="12.75" customHeight="1" x14ac:dyDescent="0.2">
      <c r="B111" s="1"/>
    </row>
    <row r="112" spans="1:10" ht="12.75" customHeight="1" x14ac:dyDescent="0.2">
      <c r="B112" s="1"/>
    </row>
    <row r="113" spans="2:2" ht="12.75" customHeight="1" x14ac:dyDescent="0.2">
      <c r="B113" s="1"/>
    </row>
    <row r="114" spans="2:2" ht="12.75" customHeight="1" x14ac:dyDescent="0.2">
      <c r="B114" s="1"/>
    </row>
    <row r="115" spans="2:2" ht="12.75" customHeight="1" x14ac:dyDescent="0.2">
      <c r="B115" s="1"/>
    </row>
    <row r="116" spans="2:2" ht="12.75" customHeight="1" x14ac:dyDescent="0.2">
      <c r="B116" s="1"/>
    </row>
    <row r="117" spans="2:2" ht="12.75" customHeight="1" x14ac:dyDescent="0.2">
      <c r="B117" s="1"/>
    </row>
    <row r="118" spans="2:2" ht="12.75" customHeight="1" x14ac:dyDescent="0.2">
      <c r="B118" s="1"/>
    </row>
    <row r="119" spans="2:2" ht="12.75" customHeight="1" x14ac:dyDescent="0.2">
      <c r="B119" s="1"/>
    </row>
    <row r="120" spans="2:2" ht="12.75" customHeight="1" x14ac:dyDescent="0.2">
      <c r="B120" s="1"/>
    </row>
    <row r="121" spans="2:2" ht="12.75" customHeight="1" x14ac:dyDescent="0.2">
      <c r="B121" s="1"/>
    </row>
    <row r="122" spans="2:2" ht="12.75" customHeight="1" x14ac:dyDescent="0.2">
      <c r="B122" s="1"/>
    </row>
    <row r="123" spans="2:2" ht="12.75" customHeight="1" x14ac:dyDescent="0.2">
      <c r="B123" s="1"/>
    </row>
    <row r="124" spans="2:2" ht="12.75" customHeight="1" x14ac:dyDescent="0.2">
      <c r="B124" s="1"/>
    </row>
    <row r="125" spans="2:2" ht="12.75" customHeight="1" x14ac:dyDescent="0.2">
      <c r="B125" s="1"/>
    </row>
    <row r="126" spans="2:2" ht="12.75" customHeight="1" x14ac:dyDescent="0.2">
      <c r="B126" s="1"/>
    </row>
    <row r="127" spans="2:2" ht="12.75" customHeight="1" x14ac:dyDescent="0.2">
      <c r="B127" s="1"/>
    </row>
    <row r="128" spans="2:2" ht="12.75" customHeight="1" x14ac:dyDescent="0.2">
      <c r="B128" s="1"/>
    </row>
    <row r="129" spans="2:2" ht="12.75" customHeight="1" x14ac:dyDescent="0.2">
      <c r="B129" s="1"/>
    </row>
    <row r="130" spans="2:2" ht="12.75" customHeight="1" x14ac:dyDescent="0.2">
      <c r="B130" s="1"/>
    </row>
    <row r="131" spans="2:2" ht="12.75" customHeight="1" x14ac:dyDescent="0.2">
      <c r="B131" s="1"/>
    </row>
    <row r="132" spans="2:2" ht="12.75" customHeight="1" x14ac:dyDescent="0.2">
      <c r="B132" s="1"/>
    </row>
    <row r="133" spans="2:2" ht="12.75" customHeight="1" x14ac:dyDescent="0.2">
      <c r="B133" s="1"/>
    </row>
    <row r="134" spans="2:2" ht="12.75" customHeight="1" x14ac:dyDescent="0.2">
      <c r="B134" s="1"/>
    </row>
    <row r="135" spans="2:2" ht="12.75" customHeight="1" x14ac:dyDescent="0.2">
      <c r="B135" s="1"/>
    </row>
    <row r="136" spans="2:2" ht="12.75" customHeight="1" x14ac:dyDescent="0.2">
      <c r="B136" s="1"/>
    </row>
    <row r="137" spans="2:2" ht="12.75" customHeight="1" x14ac:dyDescent="0.2">
      <c r="B137" s="1"/>
    </row>
    <row r="138" spans="2:2" ht="12.75" customHeight="1" x14ac:dyDescent="0.2">
      <c r="B138" s="1"/>
    </row>
    <row r="139" spans="2:2" ht="12.75" customHeight="1" x14ac:dyDescent="0.2">
      <c r="B139" s="1"/>
    </row>
    <row r="140" spans="2:2" ht="12.75" customHeight="1" x14ac:dyDescent="0.2">
      <c r="B140" s="1"/>
    </row>
    <row r="141" spans="2:2" ht="12.75" customHeight="1" x14ac:dyDescent="0.2">
      <c r="B141" s="1"/>
    </row>
    <row r="142" spans="2:2" ht="12.75" customHeight="1" x14ac:dyDescent="0.2">
      <c r="B142" s="1"/>
    </row>
    <row r="143" spans="2:2" ht="12.75" customHeight="1" x14ac:dyDescent="0.2">
      <c r="B143" s="1"/>
    </row>
    <row r="144" spans="2:2" ht="12.75" customHeight="1" x14ac:dyDescent="0.2">
      <c r="B144" s="1"/>
    </row>
    <row r="145" spans="2:2" ht="12.75" customHeight="1" x14ac:dyDescent="0.2">
      <c r="B145" s="1"/>
    </row>
    <row r="146" spans="2:2" ht="12.75" customHeight="1" x14ac:dyDescent="0.2">
      <c r="B146" s="1"/>
    </row>
    <row r="147" spans="2:2" ht="12.75" customHeight="1" x14ac:dyDescent="0.2">
      <c r="B147" s="1"/>
    </row>
    <row r="148" spans="2:2" ht="12.75" customHeight="1" x14ac:dyDescent="0.2">
      <c r="B148" s="1"/>
    </row>
    <row r="149" spans="2:2" ht="12.75" customHeight="1" x14ac:dyDescent="0.2">
      <c r="B149" s="1"/>
    </row>
    <row r="150" spans="2:2" ht="12.75" customHeight="1" x14ac:dyDescent="0.2">
      <c r="B150" s="1"/>
    </row>
    <row r="151" spans="2:2" ht="12.75" customHeight="1" x14ac:dyDescent="0.2">
      <c r="B151" s="1"/>
    </row>
    <row r="152" spans="2:2" ht="12.75" customHeight="1" x14ac:dyDescent="0.2">
      <c r="B152" s="1"/>
    </row>
    <row r="153" spans="2:2" ht="12.75" customHeight="1" x14ac:dyDescent="0.2">
      <c r="B153" s="1"/>
    </row>
    <row r="154" spans="2:2" ht="12.75" customHeight="1" x14ac:dyDescent="0.2">
      <c r="B154" s="1"/>
    </row>
    <row r="155" spans="2:2" ht="12.75" customHeight="1" x14ac:dyDescent="0.2">
      <c r="B155" s="1"/>
    </row>
    <row r="156" spans="2:2" ht="12.75" customHeight="1" x14ac:dyDescent="0.2">
      <c r="B156" s="1"/>
    </row>
    <row r="157" spans="2:2" ht="12.75" customHeight="1" x14ac:dyDescent="0.2">
      <c r="B157" s="1"/>
    </row>
    <row r="158" spans="2:2" ht="12.75" customHeight="1" x14ac:dyDescent="0.2">
      <c r="B158" s="1"/>
    </row>
    <row r="159" spans="2:2" ht="12.75" customHeight="1" x14ac:dyDescent="0.2">
      <c r="B159" s="1"/>
    </row>
    <row r="160" spans="2:2" ht="12.75" customHeight="1" x14ac:dyDescent="0.2">
      <c r="B160" s="1"/>
    </row>
    <row r="161" spans="2:2" ht="12.75" customHeight="1" x14ac:dyDescent="0.2">
      <c r="B161" s="1"/>
    </row>
    <row r="162" spans="2:2" ht="12.75" customHeight="1" x14ac:dyDescent="0.2">
      <c r="B162" s="1"/>
    </row>
    <row r="163" spans="2:2" ht="12.75" customHeight="1" x14ac:dyDescent="0.2">
      <c r="B163" s="1"/>
    </row>
    <row r="164" spans="2:2" ht="12.75" customHeight="1" x14ac:dyDescent="0.2">
      <c r="B164" s="1"/>
    </row>
    <row r="165" spans="2:2" ht="12.75" customHeight="1" x14ac:dyDescent="0.2">
      <c r="B165" s="1"/>
    </row>
    <row r="166" spans="2:2" ht="12.75" customHeight="1" x14ac:dyDescent="0.2">
      <c r="B166" s="1"/>
    </row>
    <row r="167" spans="2:2" ht="12.75" customHeight="1" x14ac:dyDescent="0.2">
      <c r="B167" s="1"/>
    </row>
    <row r="168" spans="2:2" ht="12.75" customHeight="1" x14ac:dyDescent="0.2">
      <c r="B168" s="1"/>
    </row>
    <row r="169" spans="2:2" ht="12.75" customHeight="1" x14ac:dyDescent="0.2">
      <c r="B169" s="1"/>
    </row>
    <row r="170" spans="2:2" ht="12.75" customHeight="1" x14ac:dyDescent="0.2">
      <c r="B170" s="1"/>
    </row>
    <row r="171" spans="2:2" ht="12.75" customHeight="1" x14ac:dyDescent="0.2">
      <c r="B171" s="1"/>
    </row>
    <row r="172" spans="2:2" ht="12.75" customHeight="1" x14ac:dyDescent="0.2">
      <c r="B172" s="1"/>
    </row>
    <row r="173" spans="2:2" ht="12.75" customHeight="1" x14ac:dyDescent="0.2">
      <c r="B173" s="1"/>
    </row>
    <row r="174" spans="2:2" ht="12.75" customHeight="1" x14ac:dyDescent="0.2">
      <c r="B174" s="1"/>
    </row>
    <row r="175" spans="2:2" ht="12.75" customHeight="1" x14ac:dyDescent="0.2">
      <c r="B175" s="1"/>
    </row>
    <row r="176" spans="2:2" ht="12.75" customHeight="1" x14ac:dyDescent="0.2">
      <c r="B176" s="1"/>
    </row>
    <row r="177" spans="2:2" ht="12.75" customHeight="1" x14ac:dyDescent="0.2">
      <c r="B177" s="1"/>
    </row>
    <row r="178" spans="2:2" ht="12.75" customHeight="1" x14ac:dyDescent="0.2">
      <c r="B178" s="1"/>
    </row>
    <row r="179" spans="2:2" ht="12.75" customHeight="1" x14ac:dyDescent="0.2">
      <c r="B179" s="1"/>
    </row>
    <row r="180" spans="2:2" ht="12.75" customHeight="1" x14ac:dyDescent="0.2"/>
  </sheetData>
  <pageMargins left="0.25" right="0.25" top="0.75" bottom="0.75" header="0.3" footer="0.3"/>
  <pageSetup paperSize="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35"/>
  <sheetViews>
    <sheetView tabSelected="1" zoomScale="90" zoomScaleNormal="90" workbookViewId="0">
      <selection activeCell="K1" sqref="K1"/>
    </sheetView>
  </sheetViews>
  <sheetFormatPr defaultRowHeight="12.75" x14ac:dyDescent="0.2"/>
  <cols>
    <col min="1" max="1" width="36.42578125" customWidth="1"/>
    <col min="2" max="2" width="11.5703125" customWidth="1"/>
    <col min="3" max="3" width="11.28515625" customWidth="1"/>
    <col min="5" max="5" width="10.85546875" customWidth="1"/>
    <col min="6" max="6" width="15" style="54" customWidth="1"/>
    <col min="7" max="7" width="12.7109375" customWidth="1"/>
    <col min="8" max="8" width="11.28515625" customWidth="1"/>
    <col min="9" max="9" width="11.42578125" customWidth="1"/>
    <col min="14" max="14" width="18.85546875" customWidth="1"/>
  </cols>
  <sheetData>
    <row r="1" spans="1:10" x14ac:dyDescent="0.2">
      <c r="A1" s="265" t="s">
        <v>518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38.25" x14ac:dyDescent="0.2">
      <c r="A2" s="27"/>
      <c r="B2" s="28" t="s">
        <v>135</v>
      </c>
      <c r="C2" s="33" t="s">
        <v>136</v>
      </c>
      <c r="D2" s="49" t="s">
        <v>137</v>
      </c>
      <c r="E2" s="49" t="s">
        <v>138</v>
      </c>
      <c r="F2" s="50" t="s">
        <v>139</v>
      </c>
      <c r="G2" s="49" t="s">
        <v>140</v>
      </c>
      <c r="H2" s="49" t="s">
        <v>141</v>
      </c>
      <c r="I2" s="49" t="s">
        <v>142</v>
      </c>
      <c r="J2" s="51" t="s">
        <v>143</v>
      </c>
    </row>
    <row r="4" spans="1:10" x14ac:dyDescent="0.2">
      <c r="A4" s="5" t="s">
        <v>70</v>
      </c>
      <c r="B4" s="14" t="s">
        <v>533</v>
      </c>
      <c r="F4" s="54" t="s">
        <v>533</v>
      </c>
      <c r="I4" t="s">
        <v>533</v>
      </c>
    </row>
    <row r="5" spans="1:10" ht="15" x14ac:dyDescent="0.2">
      <c r="A5" s="1" t="s">
        <v>10</v>
      </c>
      <c r="B5" s="4">
        <f>'General Info'!C5</f>
        <v>100723</v>
      </c>
      <c r="C5" s="52" t="s">
        <v>65</v>
      </c>
      <c r="D5" s="53">
        <v>35.68</v>
      </c>
      <c r="E5" s="53">
        <v>15.2</v>
      </c>
      <c r="F5" s="55">
        <f>E5/D5</f>
        <v>0.42600896860986548</v>
      </c>
      <c r="G5" s="53">
        <v>29.8</v>
      </c>
      <c r="H5" s="53">
        <v>65.48</v>
      </c>
      <c r="I5" s="53">
        <f>H5/B5*1000</f>
        <v>0.65009977860071688</v>
      </c>
      <c r="J5" s="52">
        <v>92</v>
      </c>
    </row>
    <row r="6" spans="1:10" ht="15" x14ac:dyDescent="0.2">
      <c r="A6" s="39" t="s">
        <v>12</v>
      </c>
      <c r="B6" s="169">
        <f>'General Info'!C6</f>
        <v>79601</v>
      </c>
      <c r="C6" s="40" t="s">
        <v>65</v>
      </c>
      <c r="D6" s="42">
        <v>10</v>
      </c>
      <c r="E6" s="42">
        <v>7</v>
      </c>
      <c r="F6" s="154">
        <f>E6/D6</f>
        <v>0.7</v>
      </c>
      <c r="G6" s="42">
        <v>24.5</v>
      </c>
      <c r="H6" s="42">
        <v>34.5</v>
      </c>
      <c r="I6" s="42">
        <f>H6/B6*1000</f>
        <v>0.43341164055727943</v>
      </c>
      <c r="J6" s="40">
        <v>36</v>
      </c>
    </row>
    <row r="7" spans="1:10" ht="15" x14ac:dyDescent="0.2">
      <c r="A7" s="1"/>
      <c r="B7" s="4"/>
      <c r="D7" s="16"/>
      <c r="E7" s="16"/>
      <c r="G7" s="16"/>
      <c r="H7" s="16"/>
      <c r="I7" s="16"/>
    </row>
    <row r="8" spans="1:10" x14ac:dyDescent="0.2">
      <c r="A8" s="5" t="s">
        <v>67</v>
      </c>
      <c r="B8" s="4"/>
      <c r="C8" s="7"/>
      <c r="D8" s="17"/>
      <c r="E8" s="17"/>
      <c r="F8" s="57"/>
      <c r="G8" s="17"/>
      <c r="H8" s="17"/>
      <c r="I8" s="17"/>
      <c r="J8" s="7"/>
    </row>
    <row r="9" spans="1:10" ht="15" x14ac:dyDescent="0.2">
      <c r="A9" s="1" t="s">
        <v>2</v>
      </c>
      <c r="B9" s="233">
        <f>'General Info'!C9</f>
        <v>47058</v>
      </c>
      <c r="C9" t="s">
        <v>65</v>
      </c>
      <c r="D9" s="16">
        <v>8</v>
      </c>
      <c r="E9" s="16">
        <v>3</v>
      </c>
      <c r="F9" s="54">
        <f t="shared" ref="F9:F14" si="0">E9/D9</f>
        <v>0.375</v>
      </c>
      <c r="G9" s="16">
        <v>27.8</v>
      </c>
      <c r="H9" s="16">
        <v>35.799999999999997</v>
      </c>
      <c r="I9" s="16">
        <f t="shared" ref="I9:I14" si="1">H9/B9*1000</f>
        <v>0.76076331335798364</v>
      </c>
      <c r="J9" s="129">
        <v>47</v>
      </c>
    </row>
    <row r="10" spans="1:10" ht="15" x14ac:dyDescent="0.2">
      <c r="A10" s="39" t="s">
        <v>18</v>
      </c>
      <c r="B10" s="169">
        <f>'General Info'!C10</f>
        <v>41345</v>
      </c>
      <c r="C10" s="40" t="s">
        <v>65</v>
      </c>
      <c r="D10" s="42">
        <v>21.75</v>
      </c>
      <c r="E10" s="42">
        <v>2</v>
      </c>
      <c r="F10" s="56">
        <f t="shared" si="0"/>
        <v>9.1954022988505746E-2</v>
      </c>
      <c r="G10" s="42">
        <v>7.5</v>
      </c>
      <c r="H10" s="42">
        <v>29.25</v>
      </c>
      <c r="I10" s="42">
        <f t="shared" si="1"/>
        <v>0.70746160357963483</v>
      </c>
      <c r="J10" s="40">
        <v>48</v>
      </c>
    </row>
    <row r="11" spans="1:10" ht="15" x14ac:dyDescent="0.2">
      <c r="A11" s="1" t="s">
        <v>6</v>
      </c>
      <c r="B11" s="4">
        <f>'General Info'!C11</f>
        <v>39472</v>
      </c>
      <c r="C11" t="s">
        <v>66</v>
      </c>
      <c r="D11" s="16">
        <v>12.58</v>
      </c>
      <c r="E11" s="16">
        <v>1</v>
      </c>
      <c r="F11" s="54">
        <f t="shared" si="0"/>
        <v>7.9491255961844198E-2</v>
      </c>
      <c r="G11" s="16">
        <v>2.5</v>
      </c>
      <c r="H11" s="16">
        <v>15.08</v>
      </c>
      <c r="I11" s="16">
        <f t="shared" si="1"/>
        <v>0.38204296716659913</v>
      </c>
      <c r="J11" s="129">
        <v>17</v>
      </c>
    </row>
    <row r="12" spans="1:10" ht="15" x14ac:dyDescent="0.2">
      <c r="A12" s="39" t="s">
        <v>0</v>
      </c>
      <c r="B12" s="169">
        <f>'General Info'!C12</f>
        <v>38031</v>
      </c>
      <c r="C12" s="47" t="s">
        <v>66</v>
      </c>
      <c r="D12" s="42">
        <v>6</v>
      </c>
      <c r="E12" s="42">
        <v>1.75</v>
      </c>
      <c r="F12" s="56">
        <f t="shared" si="0"/>
        <v>0.29166666666666669</v>
      </c>
      <c r="G12" s="42">
        <v>12</v>
      </c>
      <c r="H12" s="42">
        <v>18</v>
      </c>
      <c r="I12" s="42">
        <f t="shared" si="1"/>
        <v>0.47329809891930269</v>
      </c>
      <c r="J12" s="40">
        <v>24</v>
      </c>
    </row>
    <row r="13" spans="1:10" ht="15" x14ac:dyDescent="0.2">
      <c r="A13" s="1" t="s">
        <v>16</v>
      </c>
      <c r="B13" s="4">
        <f>'General Info'!C13</f>
        <v>32096</v>
      </c>
      <c r="C13" t="s">
        <v>65</v>
      </c>
      <c r="D13" s="16">
        <v>8.5</v>
      </c>
      <c r="E13" s="16">
        <v>2.5</v>
      </c>
      <c r="F13" s="54">
        <f t="shared" si="0"/>
        <v>0.29411764705882354</v>
      </c>
      <c r="G13" s="16">
        <v>15.75</v>
      </c>
      <c r="H13" s="16">
        <v>24.25</v>
      </c>
      <c r="I13" s="16">
        <f t="shared" si="1"/>
        <v>0.75554586241276167</v>
      </c>
      <c r="J13" s="129">
        <v>43</v>
      </c>
    </row>
    <row r="14" spans="1:10" ht="15" x14ac:dyDescent="0.2">
      <c r="A14" s="39" t="s">
        <v>14</v>
      </c>
      <c r="B14" s="169">
        <f>'General Info'!C14</f>
        <v>30518</v>
      </c>
      <c r="C14" s="40" t="s">
        <v>65</v>
      </c>
      <c r="D14" s="42">
        <v>7</v>
      </c>
      <c r="E14" s="42">
        <v>4</v>
      </c>
      <c r="F14" s="56">
        <f t="shared" si="0"/>
        <v>0.5714285714285714</v>
      </c>
      <c r="G14" s="42">
        <v>18</v>
      </c>
      <c r="H14" s="42">
        <v>25</v>
      </c>
      <c r="I14" s="42">
        <f t="shared" si="1"/>
        <v>0.81918867553574937</v>
      </c>
      <c r="J14" s="40">
        <v>33</v>
      </c>
    </row>
    <row r="15" spans="1:10" ht="15" x14ac:dyDescent="0.2">
      <c r="A15" s="1"/>
      <c r="B15" s="4"/>
      <c r="D15" s="16"/>
      <c r="E15" s="16"/>
      <c r="G15" s="16"/>
      <c r="H15" s="16"/>
      <c r="I15" s="16"/>
    </row>
    <row r="16" spans="1:10" x14ac:dyDescent="0.2">
      <c r="A16" s="5" t="s">
        <v>68</v>
      </c>
      <c r="B16" s="4"/>
      <c r="C16" s="7"/>
      <c r="D16" s="17"/>
      <c r="E16" s="17"/>
      <c r="F16" s="57"/>
      <c r="G16" s="17"/>
      <c r="H16" s="17"/>
      <c r="I16" s="17"/>
      <c r="J16" s="7"/>
    </row>
    <row r="17" spans="1:10" ht="15" x14ac:dyDescent="0.2">
      <c r="A17" s="1" t="s">
        <v>19</v>
      </c>
      <c r="B17" s="233">
        <f>'General Info'!C17</f>
        <v>23287</v>
      </c>
      <c r="C17" s="239" t="s">
        <v>65</v>
      </c>
      <c r="D17" s="16">
        <v>25.25</v>
      </c>
      <c r="E17" s="16">
        <v>8</v>
      </c>
      <c r="F17" s="54">
        <f t="shared" ref="F17:F18" si="2">E17/D17</f>
        <v>0.31683168316831684</v>
      </c>
      <c r="G17" s="16">
        <v>5</v>
      </c>
      <c r="H17" s="16">
        <v>30.25</v>
      </c>
      <c r="I17" s="16">
        <f t="shared" ref="I17:I23" si="3">H17/B17*1000</f>
        <v>1.2990080302314597</v>
      </c>
      <c r="J17" s="129">
        <v>40</v>
      </c>
    </row>
    <row r="18" spans="1:10" ht="15" x14ac:dyDescent="0.2">
      <c r="A18" s="39" t="s">
        <v>20</v>
      </c>
      <c r="B18" s="169">
        <f>'General Info'!C18</f>
        <v>20712</v>
      </c>
      <c r="C18" s="40" t="s">
        <v>65</v>
      </c>
      <c r="D18" s="42">
        <v>1.7</v>
      </c>
      <c r="E18" s="42">
        <v>1.7</v>
      </c>
      <c r="F18" s="156">
        <f t="shared" si="2"/>
        <v>1</v>
      </c>
      <c r="G18" s="42">
        <v>6.83</v>
      </c>
      <c r="H18" s="42">
        <v>8.5299999999999994</v>
      </c>
      <c r="I18" s="42">
        <f t="shared" si="3"/>
        <v>0.41183854770181538</v>
      </c>
      <c r="J18" s="40">
        <v>22</v>
      </c>
    </row>
    <row r="19" spans="1:10" ht="15" x14ac:dyDescent="0.2">
      <c r="A19" s="1" t="s">
        <v>11</v>
      </c>
      <c r="B19" s="4">
        <f>'General Info'!C19</f>
        <v>20660</v>
      </c>
      <c r="C19" s="239" t="s">
        <v>66</v>
      </c>
      <c r="D19" s="16">
        <v>16.38</v>
      </c>
      <c r="E19" s="16">
        <v>0</v>
      </c>
      <c r="F19" s="54">
        <f>E19/D19</f>
        <v>0</v>
      </c>
      <c r="G19" s="16">
        <v>0</v>
      </c>
      <c r="H19" s="16">
        <v>16.38</v>
      </c>
      <c r="I19" s="16">
        <f t="shared" si="3"/>
        <v>0.7928363988383349</v>
      </c>
      <c r="J19" s="129">
        <v>27</v>
      </c>
    </row>
    <row r="20" spans="1:10" ht="15" x14ac:dyDescent="0.2">
      <c r="A20" s="39" t="s">
        <v>3</v>
      </c>
      <c r="B20" s="169">
        <f>'General Info'!C20</f>
        <v>14542</v>
      </c>
      <c r="C20" s="40" t="s">
        <v>66</v>
      </c>
      <c r="D20" s="42">
        <v>2</v>
      </c>
      <c r="E20" s="42">
        <v>0</v>
      </c>
      <c r="F20" s="56">
        <f>E20/D20</f>
        <v>0</v>
      </c>
      <c r="G20" s="42">
        <v>6.52</v>
      </c>
      <c r="H20" s="42">
        <v>8.52</v>
      </c>
      <c r="I20" s="42">
        <f t="shared" si="3"/>
        <v>0.58588914867280972</v>
      </c>
      <c r="J20" s="40">
        <v>16</v>
      </c>
    </row>
    <row r="21" spans="1:10" ht="15" x14ac:dyDescent="0.2">
      <c r="A21" s="1" t="s">
        <v>4</v>
      </c>
      <c r="B21" s="4">
        <f>'General Info'!C21</f>
        <v>13786</v>
      </c>
      <c r="C21" s="239" t="s">
        <v>65</v>
      </c>
      <c r="D21" s="16">
        <v>3</v>
      </c>
      <c r="E21" s="16">
        <v>3</v>
      </c>
      <c r="F21" s="54">
        <f>E21/D21</f>
        <v>1</v>
      </c>
      <c r="G21" s="16">
        <v>20</v>
      </c>
      <c r="H21" s="16">
        <v>23</v>
      </c>
      <c r="I21" s="16">
        <f t="shared" si="3"/>
        <v>1.6683592049905702</v>
      </c>
      <c r="J21" s="129">
        <v>24</v>
      </c>
    </row>
    <row r="22" spans="1:10" ht="15" x14ac:dyDescent="0.2">
      <c r="A22" s="39" t="s">
        <v>7</v>
      </c>
      <c r="B22" s="169">
        <f>'General Info'!C22</f>
        <v>12562</v>
      </c>
      <c r="C22" s="47" t="s">
        <v>66</v>
      </c>
      <c r="D22" s="42">
        <v>1</v>
      </c>
      <c r="E22" s="42">
        <v>0</v>
      </c>
      <c r="F22" s="56">
        <f>E22/D22</f>
        <v>0</v>
      </c>
      <c r="G22" s="42">
        <v>3.5</v>
      </c>
      <c r="H22" s="42">
        <v>4.5</v>
      </c>
      <c r="I22" s="42">
        <f t="shared" si="3"/>
        <v>0.35822321286419356</v>
      </c>
      <c r="J22" s="40">
        <v>7</v>
      </c>
    </row>
    <row r="23" spans="1:10" ht="15" x14ac:dyDescent="0.2">
      <c r="A23" s="1" t="s">
        <v>1</v>
      </c>
      <c r="B23" s="4">
        <f>'General Info'!C23</f>
        <v>11855</v>
      </c>
      <c r="C23" s="239" t="s">
        <v>66</v>
      </c>
      <c r="D23" s="16">
        <v>4.33</v>
      </c>
      <c r="E23" s="16">
        <v>0</v>
      </c>
      <c r="F23" s="54">
        <f>E23/D23</f>
        <v>0</v>
      </c>
      <c r="G23" s="16">
        <v>2.74</v>
      </c>
      <c r="H23" s="16">
        <v>7.07</v>
      </c>
      <c r="I23" s="16">
        <f t="shared" si="3"/>
        <v>0.59637283846478284</v>
      </c>
      <c r="J23" s="129">
        <v>17</v>
      </c>
    </row>
    <row r="24" spans="1:10" ht="15" x14ac:dyDescent="0.2">
      <c r="A24" s="176"/>
      <c r="B24" s="4"/>
      <c r="C24" s="93"/>
      <c r="D24" s="177"/>
      <c r="E24" s="177"/>
      <c r="F24" s="178"/>
      <c r="G24" s="177"/>
      <c r="H24" s="177"/>
      <c r="I24" s="177"/>
      <c r="J24" s="93"/>
    </row>
    <row r="25" spans="1:10" x14ac:dyDescent="0.2">
      <c r="A25" s="5" t="s">
        <v>69</v>
      </c>
      <c r="B25" s="4"/>
      <c r="C25" s="7"/>
      <c r="D25" s="17"/>
      <c r="E25" s="17"/>
      <c r="F25" s="57"/>
      <c r="G25" s="17"/>
      <c r="H25" s="17"/>
      <c r="I25" s="17"/>
      <c r="J25" s="7"/>
    </row>
    <row r="26" spans="1:10" ht="15" x14ac:dyDescent="0.2">
      <c r="A26" s="176" t="s">
        <v>17</v>
      </c>
      <c r="B26" s="233">
        <f>'General Info'!C26</f>
        <v>8763</v>
      </c>
      <c r="C26" s="240" t="s">
        <v>66</v>
      </c>
      <c r="D26" s="177">
        <v>0</v>
      </c>
      <c r="E26" s="177">
        <v>0</v>
      </c>
      <c r="F26" s="231">
        <v>0</v>
      </c>
      <c r="G26" s="177">
        <v>12</v>
      </c>
      <c r="H26" s="177">
        <v>12</v>
      </c>
      <c r="I26" s="177">
        <f t="shared" ref="I26:I33" si="4">H26/B26*1000</f>
        <v>1.3693940431359122</v>
      </c>
      <c r="J26" s="241">
        <v>18</v>
      </c>
    </row>
    <row r="27" spans="1:10" ht="15" x14ac:dyDescent="0.2">
      <c r="A27" s="168" t="s">
        <v>15</v>
      </c>
      <c r="B27" s="169">
        <f>'General Info'!C27</f>
        <v>8645</v>
      </c>
      <c r="C27" s="155" t="s">
        <v>66</v>
      </c>
      <c r="D27" s="157">
        <v>3</v>
      </c>
      <c r="E27" s="157">
        <v>0</v>
      </c>
      <c r="F27" s="156">
        <f t="shared" ref="F27:F33" si="5">E27/D27</f>
        <v>0</v>
      </c>
      <c r="G27" s="157">
        <v>4.0999999999999996</v>
      </c>
      <c r="H27" s="157">
        <v>7.1</v>
      </c>
      <c r="I27" s="157">
        <f t="shared" si="4"/>
        <v>0.82128397917871598</v>
      </c>
      <c r="J27" s="155">
        <v>11</v>
      </c>
    </row>
    <row r="28" spans="1:10" ht="15" x14ac:dyDescent="0.2">
      <c r="A28" s="176" t="s">
        <v>9</v>
      </c>
      <c r="B28" s="4">
        <f>'General Info'!C28</f>
        <v>8730</v>
      </c>
      <c r="C28" s="240" t="s">
        <v>66</v>
      </c>
      <c r="D28" s="177">
        <v>5</v>
      </c>
      <c r="E28" s="177">
        <v>0</v>
      </c>
      <c r="F28" s="178">
        <f t="shared" si="5"/>
        <v>0</v>
      </c>
      <c r="G28" s="177">
        <v>2.68</v>
      </c>
      <c r="H28" s="177">
        <v>7.68</v>
      </c>
      <c r="I28" s="177">
        <f t="shared" si="4"/>
        <v>0.8797250859106529</v>
      </c>
      <c r="J28" s="241">
        <v>11</v>
      </c>
    </row>
    <row r="29" spans="1:10" ht="15" x14ac:dyDescent="0.2">
      <c r="A29" s="168" t="s">
        <v>21</v>
      </c>
      <c r="B29" s="169">
        <f>'General Info'!C29</f>
        <v>7719</v>
      </c>
      <c r="C29" s="155" t="s">
        <v>66</v>
      </c>
      <c r="D29" s="157">
        <v>3</v>
      </c>
      <c r="E29" s="157">
        <v>0</v>
      </c>
      <c r="F29" s="156">
        <f t="shared" si="5"/>
        <v>0</v>
      </c>
      <c r="G29" s="157">
        <v>2.2000000000000002</v>
      </c>
      <c r="H29" s="157">
        <v>5.2</v>
      </c>
      <c r="I29" s="157">
        <f t="shared" si="4"/>
        <v>0.67366239150148988</v>
      </c>
      <c r="J29" s="155">
        <v>9</v>
      </c>
    </row>
    <row r="30" spans="1:10" ht="15" x14ac:dyDescent="0.2">
      <c r="A30" s="176" t="s">
        <v>5</v>
      </c>
      <c r="B30" s="4">
        <f>'General Info'!C30</f>
        <v>7448</v>
      </c>
      <c r="C30" s="240" t="s">
        <v>66</v>
      </c>
      <c r="D30" s="177">
        <v>9</v>
      </c>
      <c r="E30" s="177">
        <v>0</v>
      </c>
      <c r="F30" s="178">
        <f t="shared" si="5"/>
        <v>0</v>
      </c>
      <c r="G30" s="177">
        <v>0</v>
      </c>
      <c r="H30" s="177">
        <v>9</v>
      </c>
      <c r="I30" s="177">
        <f t="shared" si="4"/>
        <v>1.2083780880773363</v>
      </c>
      <c r="J30" s="241">
        <v>9</v>
      </c>
    </row>
    <row r="31" spans="1:10" ht="15" x14ac:dyDescent="0.2">
      <c r="A31" s="168" t="s">
        <v>22</v>
      </c>
      <c r="B31" s="169">
        <f>'General Info'!C31</f>
        <v>6860</v>
      </c>
      <c r="C31" s="155" t="s">
        <v>66</v>
      </c>
      <c r="D31" s="157">
        <v>4.75</v>
      </c>
      <c r="E31" s="157">
        <v>0</v>
      </c>
      <c r="F31" s="156">
        <f t="shared" si="5"/>
        <v>0</v>
      </c>
      <c r="G31" s="157">
        <v>1.28</v>
      </c>
      <c r="H31" s="157">
        <v>6.03</v>
      </c>
      <c r="I31" s="157">
        <f t="shared" si="4"/>
        <v>0.87900874635568516</v>
      </c>
      <c r="J31" s="155">
        <v>9</v>
      </c>
    </row>
    <row r="32" spans="1:10" ht="15" x14ac:dyDescent="0.2">
      <c r="A32" s="176" t="s">
        <v>8</v>
      </c>
      <c r="B32" s="4">
        <f>'General Info'!C32</f>
        <v>4588</v>
      </c>
      <c r="C32" s="240" t="s">
        <v>66</v>
      </c>
      <c r="D32" s="177">
        <v>2</v>
      </c>
      <c r="E32" s="177">
        <v>0</v>
      </c>
      <c r="F32" s="178">
        <f t="shared" si="5"/>
        <v>0</v>
      </c>
      <c r="G32" s="177">
        <v>0</v>
      </c>
      <c r="H32" s="177">
        <v>2</v>
      </c>
      <c r="I32" s="177">
        <f t="shared" si="4"/>
        <v>0.43591979075850046</v>
      </c>
      <c r="J32" s="241">
        <v>5</v>
      </c>
    </row>
    <row r="33" spans="1:10" ht="15" x14ac:dyDescent="0.2">
      <c r="A33" s="168" t="s">
        <v>13</v>
      </c>
      <c r="B33" s="169">
        <f>'General Info'!C33</f>
        <v>2380</v>
      </c>
      <c r="C33" s="155" t="s">
        <v>66</v>
      </c>
      <c r="D33" s="157">
        <v>4.4800000000000004</v>
      </c>
      <c r="E33" s="157">
        <v>0</v>
      </c>
      <c r="F33" s="156">
        <f t="shared" si="5"/>
        <v>0</v>
      </c>
      <c r="G33" s="157">
        <v>0</v>
      </c>
      <c r="H33" s="157">
        <v>4.4800000000000004</v>
      </c>
      <c r="I33" s="157">
        <f t="shared" si="4"/>
        <v>1.8823529411764708</v>
      </c>
      <c r="J33" s="155">
        <v>4.4800000000000004</v>
      </c>
    </row>
    <row r="34" spans="1:10" x14ac:dyDescent="0.2">
      <c r="B34" s="4"/>
      <c r="D34" s="16"/>
      <c r="E34" s="16"/>
      <c r="G34" s="16"/>
      <c r="H34" s="16"/>
      <c r="I34" s="16"/>
    </row>
    <row r="35" spans="1:10" ht="15" x14ac:dyDescent="0.25">
      <c r="A35" s="6" t="s">
        <v>71</v>
      </c>
      <c r="B35" s="15">
        <f>'General Info'!C35</f>
        <v>581381</v>
      </c>
      <c r="C35" s="12">
        <v>10</v>
      </c>
      <c r="D35" s="18">
        <f>SUM(D5:D33)</f>
        <v>194.39999999999998</v>
      </c>
      <c r="E35" s="18">
        <f>SUM(E5:E33)</f>
        <v>49.150000000000006</v>
      </c>
      <c r="F35" s="58">
        <f>AVERAGE(F5:F33)</f>
        <v>0.22376081808185186</v>
      </c>
      <c r="G35" s="18">
        <f>SUM(G5:G33)</f>
        <v>204.70000000000002</v>
      </c>
      <c r="H35" s="18">
        <f>SUM(H5:H33)</f>
        <v>399.09999999999997</v>
      </c>
      <c r="I35" s="18">
        <f>AVERAGE(I5:I33)</f>
        <v>0.8193071473038589</v>
      </c>
      <c r="J35" s="201">
        <f>SUM(J5:J33)</f>
        <v>569.48</v>
      </c>
    </row>
  </sheetData>
  <mergeCells count="1">
    <mergeCell ref="A1:J1"/>
  </mergeCells>
  <pageMargins left="0.25" right="0.25" top="0.75" bottom="0.75" header="0.3" footer="0.3"/>
  <pageSetup paperSize="5" scale="97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92D050"/>
    <pageSetUpPr fitToPage="1"/>
  </sheetPr>
  <dimension ref="A1:J40"/>
  <sheetViews>
    <sheetView topLeftCell="A17" zoomScale="90" zoomScaleNormal="90" workbookViewId="0">
      <selection activeCell="L36" sqref="L36"/>
    </sheetView>
  </sheetViews>
  <sheetFormatPr defaultRowHeight="12.75" x14ac:dyDescent="0.2"/>
  <cols>
    <col min="1" max="1" width="36.140625" customWidth="1"/>
    <col min="2" max="2" width="11.28515625" customWidth="1"/>
    <col min="3" max="3" width="11.7109375" customWidth="1"/>
    <col min="4" max="4" width="11.140625" customWidth="1"/>
    <col min="5" max="5" width="12" bestFit="1" customWidth="1"/>
    <col min="7" max="7" width="10.5703125" customWidth="1"/>
    <col min="8" max="8" width="10.85546875" customWidth="1"/>
    <col min="9" max="9" width="11" bestFit="1" customWidth="1"/>
  </cols>
  <sheetData>
    <row r="1" spans="1:10" s="26" customFormat="1" x14ac:dyDescent="0.2">
      <c r="A1" s="269" t="s">
        <v>519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" customFormat="1" ht="38.25" x14ac:dyDescent="0.2">
      <c r="A2" s="59"/>
      <c r="B2" s="34" t="s">
        <v>135</v>
      </c>
      <c r="C2" s="60" t="s">
        <v>144</v>
      </c>
      <c r="D2" s="60" t="s">
        <v>145</v>
      </c>
      <c r="E2" s="60" t="s">
        <v>146</v>
      </c>
      <c r="F2" s="61" t="s">
        <v>147</v>
      </c>
      <c r="G2" s="60" t="s">
        <v>148</v>
      </c>
      <c r="H2" s="61" t="s">
        <v>149</v>
      </c>
      <c r="I2" s="60" t="s">
        <v>150</v>
      </c>
      <c r="J2" s="61" t="s">
        <v>151</v>
      </c>
    </row>
    <row r="3" spans="1:10" x14ac:dyDescent="0.2">
      <c r="E3" s="19"/>
      <c r="G3" s="19"/>
      <c r="I3" s="19"/>
    </row>
    <row r="4" spans="1:10" x14ac:dyDescent="0.2">
      <c r="A4" s="5" t="s">
        <v>70</v>
      </c>
      <c r="B4" s="14"/>
      <c r="C4" s="20"/>
      <c r="D4" s="62"/>
      <c r="E4" s="20"/>
      <c r="F4" s="57"/>
      <c r="G4" s="20"/>
      <c r="H4" s="57"/>
      <c r="I4" s="20"/>
      <c r="J4" s="57"/>
    </row>
    <row r="5" spans="1:10" ht="15" x14ac:dyDescent="0.2">
      <c r="A5" s="1" t="s">
        <v>10</v>
      </c>
      <c r="B5" s="4">
        <f>'General Info'!C5</f>
        <v>100723</v>
      </c>
      <c r="C5" s="179">
        <v>6638405</v>
      </c>
      <c r="D5" s="63">
        <f>C5/B5</f>
        <v>65.907538496669076</v>
      </c>
      <c r="E5" s="19">
        <f>'Staff Expenditures'!E5</f>
        <v>4290460</v>
      </c>
      <c r="F5" s="54">
        <f>E5/C5*100%</f>
        <v>0.64630886485533801</v>
      </c>
      <c r="G5" s="19">
        <v>265802</v>
      </c>
      <c r="H5" s="54">
        <f>G5/C5*100%</f>
        <v>4.0040039738461271E-2</v>
      </c>
      <c r="I5" s="19">
        <v>2082143</v>
      </c>
      <c r="J5" s="54">
        <f>I5/C5*100%</f>
        <v>0.31365109540620073</v>
      </c>
    </row>
    <row r="6" spans="1:10" ht="15" x14ac:dyDescent="0.2">
      <c r="A6" s="39" t="s">
        <v>12</v>
      </c>
      <c r="B6" s="169">
        <f>'General Info'!C6</f>
        <v>79601</v>
      </c>
      <c r="C6" s="44">
        <v>3089336</v>
      </c>
      <c r="D6" s="64">
        <f>C6/B6</f>
        <v>38.810266202685895</v>
      </c>
      <c r="E6" s="44">
        <f>'Staff Expenditures'!E6</f>
        <v>2208697</v>
      </c>
      <c r="F6" s="156">
        <f>E6/C6*100%</f>
        <v>0.71494230475416076</v>
      </c>
      <c r="G6" s="44">
        <v>340607</v>
      </c>
      <c r="H6" s="156">
        <f>G6/C6*100%</f>
        <v>0.11025249438714338</v>
      </c>
      <c r="I6" s="44">
        <v>540032</v>
      </c>
      <c r="J6" s="156">
        <f>I6/C6*100%</f>
        <v>0.17480520085869586</v>
      </c>
    </row>
    <row r="7" spans="1:10" ht="15" x14ac:dyDescent="0.2">
      <c r="A7" s="1"/>
      <c r="B7" s="4"/>
      <c r="C7" s="19"/>
      <c r="D7" s="63"/>
      <c r="E7" s="19"/>
      <c r="F7" s="54"/>
      <c r="G7" s="19"/>
      <c r="H7" s="54"/>
      <c r="I7" s="19"/>
      <c r="J7" s="54"/>
    </row>
    <row r="8" spans="1:10" x14ac:dyDescent="0.2">
      <c r="A8" s="5" t="s">
        <v>67</v>
      </c>
      <c r="B8" s="4"/>
      <c r="C8" s="20"/>
      <c r="D8" s="62"/>
      <c r="E8" s="20"/>
      <c r="F8" s="57"/>
      <c r="G8" s="20"/>
      <c r="H8" s="57"/>
      <c r="I8" s="20"/>
      <c r="J8" s="57"/>
    </row>
    <row r="9" spans="1:10" ht="15" x14ac:dyDescent="0.2">
      <c r="A9" s="1" t="s">
        <v>2</v>
      </c>
      <c r="B9" s="233">
        <f>'General Info'!C9</f>
        <v>47058</v>
      </c>
      <c r="C9" s="234">
        <v>2849324</v>
      </c>
      <c r="D9" s="235">
        <f>C9/B9</f>
        <v>60.549194610905694</v>
      </c>
      <c r="E9" s="19">
        <f>'Staff Expenditures'!E9</f>
        <v>2309596</v>
      </c>
      <c r="F9" s="55">
        <f>E9/C9*100%</f>
        <v>0.81057682453803082</v>
      </c>
      <c r="G9" s="19">
        <v>248066</v>
      </c>
      <c r="H9" s="55">
        <f>G9/C9*100%</f>
        <v>8.7061352096146308E-2</v>
      </c>
      <c r="I9" s="234">
        <v>291662</v>
      </c>
      <c r="J9" s="55">
        <f>I9/C9*100%</f>
        <v>0.1023618233658229</v>
      </c>
    </row>
    <row r="10" spans="1:10" ht="15" x14ac:dyDescent="0.2">
      <c r="A10" s="39" t="s">
        <v>18</v>
      </c>
      <c r="B10" s="169">
        <f>'General Info'!C10</f>
        <v>41345</v>
      </c>
      <c r="C10" s="44">
        <v>3397259</v>
      </c>
      <c r="D10" s="64">
        <f t="shared" ref="D10:D14" si="0">C10/B10</f>
        <v>82.168557262063132</v>
      </c>
      <c r="E10" s="44">
        <f>'Staff Expenditures'!E10</f>
        <v>2607038</v>
      </c>
      <c r="F10" s="156">
        <f>E10/C10*100%</f>
        <v>0.76739453777295163</v>
      </c>
      <c r="G10" s="44">
        <v>229889</v>
      </c>
      <c r="H10" s="156">
        <f>G10/C10*100%</f>
        <v>6.7668964891990868E-2</v>
      </c>
      <c r="I10" s="44">
        <v>560332</v>
      </c>
      <c r="J10" s="156">
        <f>I10/C10*100%</f>
        <v>0.16493649733505747</v>
      </c>
    </row>
    <row r="11" spans="1:10" ht="15" x14ac:dyDescent="0.2">
      <c r="A11" s="1" t="s">
        <v>6</v>
      </c>
      <c r="B11" s="4">
        <f>'General Info'!C11</f>
        <v>39472</v>
      </c>
      <c r="C11" s="19">
        <v>1311945</v>
      </c>
      <c r="D11" s="63">
        <f t="shared" si="0"/>
        <v>33.237358127280096</v>
      </c>
      <c r="E11" s="19">
        <f>'Staff Expenditures'!E11</f>
        <v>873187</v>
      </c>
      <c r="F11" s="54">
        <f t="shared" ref="F11:F14" si="1">E11/C11*100%</f>
        <v>0.66556677299734368</v>
      </c>
      <c r="G11" s="19">
        <v>60879</v>
      </c>
      <c r="H11" s="54">
        <f t="shared" ref="H11:H14" si="2">G11/C11*100%</f>
        <v>4.6403622103060725E-2</v>
      </c>
      <c r="I11" s="19">
        <v>377879</v>
      </c>
      <c r="J11" s="54">
        <f t="shared" ref="J11:J14" si="3">I11/C11*100%</f>
        <v>0.28802960489959561</v>
      </c>
    </row>
    <row r="12" spans="1:10" ht="15" x14ac:dyDescent="0.2">
      <c r="A12" s="39" t="s">
        <v>0</v>
      </c>
      <c r="B12" s="169">
        <f>'General Info'!C12</f>
        <v>38031</v>
      </c>
      <c r="C12" s="44">
        <v>1300837</v>
      </c>
      <c r="D12" s="64">
        <f t="shared" si="0"/>
        <v>34.204648839104941</v>
      </c>
      <c r="E12" s="44">
        <f>'Staff Expenditures'!E12</f>
        <v>912377</v>
      </c>
      <c r="F12" s="156">
        <f t="shared" si="1"/>
        <v>0.70137688273011911</v>
      </c>
      <c r="G12" s="44">
        <v>0</v>
      </c>
      <c r="H12" s="156">
        <f t="shared" si="2"/>
        <v>0</v>
      </c>
      <c r="I12" s="44">
        <v>388460</v>
      </c>
      <c r="J12" s="156">
        <f t="shared" si="3"/>
        <v>0.29862311726988083</v>
      </c>
    </row>
    <row r="13" spans="1:10" ht="15" x14ac:dyDescent="0.2">
      <c r="A13" s="1" t="s">
        <v>16</v>
      </c>
      <c r="B13" s="4">
        <f>'General Info'!C13</f>
        <v>32096</v>
      </c>
      <c r="C13" s="19">
        <v>1755780</v>
      </c>
      <c r="D13" s="63">
        <f t="shared" si="0"/>
        <v>54.704012961116653</v>
      </c>
      <c r="E13" s="19">
        <f>'Staff Expenditures'!E13</f>
        <v>1290500</v>
      </c>
      <c r="F13" s="54">
        <f t="shared" si="1"/>
        <v>0.73500096823064398</v>
      </c>
      <c r="G13" s="19">
        <v>168680</v>
      </c>
      <c r="H13" s="54">
        <f t="shared" si="2"/>
        <v>9.6071261775393269E-2</v>
      </c>
      <c r="I13" s="19">
        <v>296600</v>
      </c>
      <c r="J13" s="54">
        <f t="shared" si="3"/>
        <v>0.16892776999396281</v>
      </c>
    </row>
    <row r="14" spans="1:10" ht="15" x14ac:dyDescent="0.2">
      <c r="A14" s="39" t="s">
        <v>14</v>
      </c>
      <c r="B14" s="169">
        <f>'General Info'!C14</f>
        <v>30518</v>
      </c>
      <c r="C14" s="44">
        <v>1813187</v>
      </c>
      <c r="D14" s="64">
        <f t="shared" si="0"/>
        <v>59.413690281145556</v>
      </c>
      <c r="E14" s="44">
        <f>'Staff Expenditures'!E14</f>
        <v>1616754</v>
      </c>
      <c r="F14" s="156">
        <f t="shared" si="1"/>
        <v>0.89166423540429085</v>
      </c>
      <c r="G14" s="44">
        <v>93916</v>
      </c>
      <c r="H14" s="156">
        <f t="shared" si="2"/>
        <v>5.1796091633129954E-2</v>
      </c>
      <c r="I14" s="44">
        <v>102517</v>
      </c>
      <c r="J14" s="156">
        <f t="shared" si="3"/>
        <v>5.6539672962579147E-2</v>
      </c>
    </row>
    <row r="15" spans="1:10" ht="15" x14ac:dyDescent="0.2">
      <c r="A15" s="1"/>
      <c r="B15" s="4"/>
      <c r="C15" s="19"/>
      <c r="D15" s="63"/>
      <c r="E15" s="19"/>
      <c r="F15" s="54"/>
      <c r="G15" s="19"/>
      <c r="H15" s="54"/>
      <c r="I15" s="19"/>
      <c r="J15" s="54"/>
    </row>
    <row r="16" spans="1:10" x14ac:dyDescent="0.2">
      <c r="A16" s="5" t="s">
        <v>68</v>
      </c>
      <c r="B16" s="4"/>
      <c r="C16" s="20"/>
      <c r="D16" s="62"/>
      <c r="E16" s="20"/>
      <c r="F16" s="57"/>
      <c r="G16" s="20"/>
      <c r="H16" s="57"/>
      <c r="I16" s="20"/>
      <c r="J16" s="57"/>
    </row>
    <row r="17" spans="1:10" ht="15" x14ac:dyDescent="0.2">
      <c r="A17" s="1" t="s">
        <v>19</v>
      </c>
      <c r="B17" s="233">
        <f>'General Info'!C17</f>
        <v>23287</v>
      </c>
      <c r="C17" s="19">
        <v>3623721</v>
      </c>
      <c r="D17" s="63">
        <f t="shared" ref="D17:D23" si="4">C17/B17</f>
        <v>155.6113282088719</v>
      </c>
      <c r="E17" s="19">
        <f>'Staff Expenditures'!E17</f>
        <v>2584646</v>
      </c>
      <c r="F17" s="54">
        <f>E17/C17*100%</f>
        <v>0.71325745000787866</v>
      </c>
      <c r="G17" s="19">
        <v>254531</v>
      </c>
      <c r="H17" s="54">
        <f>G17/C17*100%</f>
        <v>7.0240230967008779E-2</v>
      </c>
      <c r="I17" s="19">
        <v>784544</v>
      </c>
      <c r="J17" s="54">
        <f>I17/C17*100%</f>
        <v>0.21650231902511258</v>
      </c>
    </row>
    <row r="18" spans="1:10" ht="15" x14ac:dyDescent="0.2">
      <c r="A18" s="39" t="s">
        <v>20</v>
      </c>
      <c r="B18" s="169">
        <f>'General Info'!C18</f>
        <v>20712</v>
      </c>
      <c r="C18" s="124">
        <v>465262</v>
      </c>
      <c r="D18" s="64">
        <f t="shared" si="4"/>
        <v>22.463402858246429</v>
      </c>
      <c r="E18" s="44">
        <f>'Staff Expenditures'!E18</f>
        <v>388219</v>
      </c>
      <c r="F18" s="156">
        <f>E18/C18*100%</f>
        <v>0.83440942952572961</v>
      </c>
      <c r="G18" s="44">
        <v>22715</v>
      </c>
      <c r="H18" s="156">
        <f>G18/C18*100%</f>
        <v>4.8821954081786176E-2</v>
      </c>
      <c r="I18" s="44">
        <v>54328</v>
      </c>
      <c r="J18" s="156">
        <f>I18/C18*100%</f>
        <v>0.11676861639248423</v>
      </c>
    </row>
    <row r="19" spans="1:10" ht="15" x14ac:dyDescent="0.2">
      <c r="A19" s="1" t="s">
        <v>11</v>
      </c>
      <c r="B19" s="4">
        <f>'General Info'!C19</f>
        <v>20660</v>
      </c>
      <c r="C19" s="19">
        <v>1388048</v>
      </c>
      <c r="D19" s="63">
        <f t="shared" si="4"/>
        <v>67.185285575992253</v>
      </c>
      <c r="E19" s="19">
        <f>'Staff Expenditures'!E19</f>
        <v>944928</v>
      </c>
      <c r="F19" s="54">
        <f t="shared" ref="F19:F23" si="5">E19/C19*100%</f>
        <v>0.68076031952785498</v>
      </c>
      <c r="G19" s="19">
        <v>164285</v>
      </c>
      <c r="H19" s="54">
        <f t="shared" ref="H19:H23" si="6">G19/C19*100%</f>
        <v>0.11835685797609305</v>
      </c>
      <c r="I19" s="19">
        <v>278835</v>
      </c>
      <c r="J19" s="54">
        <f t="shared" ref="J19:J23" si="7">I19/C19*100%</f>
        <v>0.20088282249605202</v>
      </c>
    </row>
    <row r="20" spans="1:10" ht="15" x14ac:dyDescent="0.2">
      <c r="A20" s="39" t="s">
        <v>3</v>
      </c>
      <c r="B20" s="169">
        <f>'General Info'!C20</f>
        <v>14542</v>
      </c>
      <c r="C20" s="44">
        <v>576324</v>
      </c>
      <c r="D20" s="64">
        <f t="shared" si="4"/>
        <v>39.631687525787378</v>
      </c>
      <c r="E20" s="44">
        <f>'Staff Expenditures'!E20</f>
        <v>419896</v>
      </c>
      <c r="F20" s="156">
        <f t="shared" si="5"/>
        <v>0.72857628694970189</v>
      </c>
      <c r="G20" s="44">
        <v>85000</v>
      </c>
      <c r="H20" s="156">
        <f t="shared" si="6"/>
        <v>0.14748648329758954</v>
      </c>
      <c r="I20" s="44">
        <v>71428</v>
      </c>
      <c r="J20" s="156">
        <f t="shared" si="7"/>
        <v>0.12393722975270854</v>
      </c>
    </row>
    <row r="21" spans="1:10" ht="15" x14ac:dyDescent="0.2">
      <c r="A21" s="1" t="s">
        <v>4</v>
      </c>
      <c r="B21" s="4">
        <f>'General Info'!C21</f>
        <v>13786</v>
      </c>
      <c r="C21" s="19">
        <v>1763890</v>
      </c>
      <c r="D21" s="63">
        <f t="shared" si="4"/>
        <v>127.9479181778616</v>
      </c>
      <c r="E21" s="19">
        <f>'Staff Expenditures'!E21</f>
        <v>1178212</v>
      </c>
      <c r="F21" s="54">
        <f t="shared" si="5"/>
        <v>0.66796228789777146</v>
      </c>
      <c r="G21" s="19">
        <v>58439</v>
      </c>
      <c r="H21" s="54">
        <f t="shared" si="6"/>
        <v>3.3130750783779035E-2</v>
      </c>
      <c r="I21" s="19">
        <v>527239</v>
      </c>
      <c r="J21" s="54">
        <f t="shared" si="7"/>
        <v>0.29890696131844957</v>
      </c>
    </row>
    <row r="22" spans="1:10" ht="15" x14ac:dyDescent="0.2">
      <c r="A22" s="39" t="s">
        <v>7</v>
      </c>
      <c r="B22" s="169">
        <f>'General Info'!C22</f>
        <v>12562</v>
      </c>
      <c r="C22" s="44">
        <v>314303</v>
      </c>
      <c r="D22" s="64">
        <f t="shared" si="4"/>
        <v>25.020140105078809</v>
      </c>
      <c r="E22" s="44">
        <f>'Staff Expenditures'!E22</f>
        <v>214636</v>
      </c>
      <c r="F22" s="156">
        <f t="shared" si="5"/>
        <v>0.68289516803848516</v>
      </c>
      <c r="G22" s="44">
        <v>26995</v>
      </c>
      <c r="H22" s="156">
        <f t="shared" si="6"/>
        <v>8.5888457952994407E-2</v>
      </c>
      <c r="I22" s="44">
        <v>72672</v>
      </c>
      <c r="J22" s="156">
        <f t="shared" si="7"/>
        <v>0.23121637400852044</v>
      </c>
    </row>
    <row r="23" spans="1:10" ht="15" x14ac:dyDescent="0.2">
      <c r="A23" s="138" t="s">
        <v>1</v>
      </c>
      <c r="B23" s="4">
        <f>'General Info'!C23</f>
        <v>11855</v>
      </c>
      <c r="C23" s="139">
        <v>340028</v>
      </c>
      <c r="D23" s="140">
        <f t="shared" si="4"/>
        <v>28.682243778996202</v>
      </c>
      <c r="E23" s="19">
        <f>'Staff Expenditures'!E23</f>
        <v>239620</v>
      </c>
      <c r="F23" s="54">
        <f t="shared" si="5"/>
        <v>0.70470667121531172</v>
      </c>
      <c r="G23" s="19">
        <v>23073</v>
      </c>
      <c r="H23" s="54">
        <f t="shared" si="6"/>
        <v>6.7856176550166458E-2</v>
      </c>
      <c r="I23" s="139">
        <v>77335</v>
      </c>
      <c r="J23" s="54">
        <f t="shared" si="7"/>
        <v>0.22743715223452185</v>
      </c>
    </row>
    <row r="24" spans="1:10" x14ac:dyDescent="0.2">
      <c r="B24" s="4"/>
    </row>
    <row r="25" spans="1:10" x14ac:dyDescent="0.2">
      <c r="A25" s="143" t="s">
        <v>69</v>
      </c>
      <c r="B25" s="4"/>
      <c r="C25" s="145"/>
      <c r="D25" s="146"/>
      <c r="E25" s="147"/>
      <c r="F25" s="148"/>
      <c r="G25" s="147"/>
      <c r="H25" s="149"/>
      <c r="I25" s="145"/>
      <c r="J25" s="148"/>
    </row>
    <row r="26" spans="1:10" ht="15" x14ac:dyDescent="0.2">
      <c r="A26" s="144" t="s">
        <v>17</v>
      </c>
      <c r="B26" s="232">
        <f>'General Info'!C26</f>
        <v>8763</v>
      </c>
      <c r="C26" s="142">
        <v>1165351</v>
      </c>
      <c r="D26" s="64">
        <f t="shared" ref="D26:D33" si="8">C26/B26</f>
        <v>132.98539313020655</v>
      </c>
      <c r="E26" s="44">
        <f>'Staff Expenditures'!E26</f>
        <v>911389</v>
      </c>
      <c r="F26" s="156">
        <f>E26/C26*100%</f>
        <v>0.78207252578836761</v>
      </c>
      <c r="G26" s="44">
        <v>74611</v>
      </c>
      <c r="H26" s="198">
        <f>G26/C26*100%</f>
        <v>6.4024487042959585E-2</v>
      </c>
      <c r="I26" s="142">
        <v>179351</v>
      </c>
      <c r="J26" s="156">
        <f>I26/C26*100%</f>
        <v>0.15390298716867279</v>
      </c>
    </row>
    <row r="27" spans="1:10" ht="15" x14ac:dyDescent="0.2">
      <c r="A27" s="1" t="s">
        <v>15</v>
      </c>
      <c r="B27" s="4">
        <f>'General Info'!C27</f>
        <v>8645</v>
      </c>
      <c r="C27" s="19">
        <v>345090</v>
      </c>
      <c r="D27" s="63">
        <f t="shared" si="8"/>
        <v>39.91787160208213</v>
      </c>
      <c r="E27" s="19">
        <f>'Staff Expenditures'!E27</f>
        <v>253814</v>
      </c>
      <c r="F27" s="54">
        <f>E27/C27*100%</f>
        <v>0.7355008838274073</v>
      </c>
      <c r="G27" s="19">
        <v>42131</v>
      </c>
      <c r="H27" s="54">
        <f>G27/C27*100%</f>
        <v>0.12208699179924078</v>
      </c>
      <c r="I27" s="19">
        <v>49145</v>
      </c>
      <c r="J27" s="54">
        <f>I27/C27*100%</f>
        <v>0.14241212437335188</v>
      </c>
    </row>
    <row r="28" spans="1:10" ht="15" x14ac:dyDescent="0.2">
      <c r="A28" s="39" t="s">
        <v>9</v>
      </c>
      <c r="B28" s="169">
        <f>'General Info'!C28</f>
        <v>8730</v>
      </c>
      <c r="C28" s="44">
        <v>517589</v>
      </c>
      <c r="D28" s="64">
        <f t="shared" si="8"/>
        <v>59.288545246277202</v>
      </c>
      <c r="E28" s="44">
        <f>'Staff Expenditures'!E28</f>
        <v>390128</v>
      </c>
      <c r="F28" s="156">
        <f t="shared" ref="F28:F33" si="9">E28/C28*100%</f>
        <v>0.75374090253077253</v>
      </c>
      <c r="G28" s="44">
        <v>25234</v>
      </c>
      <c r="H28" s="154">
        <f t="shared" ref="H28:H33" si="10">G28/C28*100%</f>
        <v>4.8752968088579936E-2</v>
      </c>
      <c r="I28" s="44">
        <v>102227</v>
      </c>
      <c r="J28" s="156">
        <f t="shared" ref="J28:J33" si="11">I28/C28*100%</f>
        <v>0.19750612938064757</v>
      </c>
    </row>
    <row r="29" spans="1:10" ht="15" x14ac:dyDescent="0.2">
      <c r="A29" s="1" t="s">
        <v>21</v>
      </c>
      <c r="B29" s="4">
        <f>'General Info'!C29</f>
        <v>7719</v>
      </c>
      <c r="C29" s="19">
        <v>338476</v>
      </c>
      <c r="D29" s="63">
        <f t="shared" si="8"/>
        <v>43.849721466511205</v>
      </c>
      <c r="E29" s="19">
        <f>'Staff Expenditures'!E29</f>
        <v>267282</v>
      </c>
      <c r="F29" s="54">
        <f t="shared" si="9"/>
        <v>0.78966307803212044</v>
      </c>
      <c r="G29" s="19">
        <v>24000</v>
      </c>
      <c r="H29" s="54">
        <f t="shared" si="10"/>
        <v>7.0906061286472311E-2</v>
      </c>
      <c r="I29" s="19">
        <v>47194</v>
      </c>
      <c r="J29" s="54">
        <f t="shared" si="11"/>
        <v>0.13943086068140725</v>
      </c>
    </row>
    <row r="30" spans="1:10" ht="15" x14ac:dyDescent="0.2">
      <c r="A30" s="39" t="s">
        <v>5</v>
      </c>
      <c r="B30" s="169">
        <f>'General Info'!C30</f>
        <v>7448</v>
      </c>
      <c r="C30" s="44">
        <v>534152</v>
      </c>
      <c r="D30" s="64">
        <f t="shared" si="8"/>
        <v>71.717508055853926</v>
      </c>
      <c r="E30" s="44">
        <f>'Staff Expenditures'!E30</f>
        <v>484404</v>
      </c>
      <c r="F30" s="156">
        <f t="shared" si="9"/>
        <v>0.9068654615165721</v>
      </c>
      <c r="G30" s="44">
        <v>23180</v>
      </c>
      <c r="H30" s="154">
        <f t="shared" si="10"/>
        <v>4.3395887312974585E-2</v>
      </c>
      <c r="I30" s="44">
        <v>26568</v>
      </c>
      <c r="J30" s="156">
        <f t="shared" si="11"/>
        <v>4.9738651170453355E-2</v>
      </c>
    </row>
    <row r="31" spans="1:10" ht="15" x14ac:dyDescent="0.2">
      <c r="A31" s="1" t="s">
        <v>22</v>
      </c>
      <c r="B31" s="4">
        <f>'General Info'!C31</f>
        <v>6860</v>
      </c>
      <c r="C31" s="19">
        <v>344120</v>
      </c>
      <c r="D31" s="63">
        <f t="shared" si="8"/>
        <v>50.163265306122447</v>
      </c>
      <c r="E31" s="19">
        <f>'Staff Expenditures'!E31</f>
        <v>292618</v>
      </c>
      <c r="F31" s="54">
        <f t="shared" si="9"/>
        <v>0.8503370917121934</v>
      </c>
      <c r="G31" s="19">
        <v>8239</v>
      </c>
      <c r="H31" s="54">
        <f t="shared" si="10"/>
        <v>2.3942229454841334E-2</v>
      </c>
      <c r="I31" s="19">
        <v>43263</v>
      </c>
      <c r="J31" s="54">
        <f t="shared" si="11"/>
        <v>0.12572067883296525</v>
      </c>
    </row>
    <row r="32" spans="1:10" ht="15" x14ac:dyDescent="0.2">
      <c r="A32" s="39" t="s">
        <v>8</v>
      </c>
      <c r="B32" s="169">
        <f>'General Info'!C32</f>
        <v>4588</v>
      </c>
      <c r="C32" s="44">
        <v>157852</v>
      </c>
      <c r="D32" s="64">
        <f t="shared" si="8"/>
        <v>34.405405405405403</v>
      </c>
      <c r="E32" s="44">
        <f>'Staff Expenditures'!E32</f>
        <v>123511</v>
      </c>
      <c r="F32" s="156">
        <f t="shared" si="9"/>
        <v>0.78244811595671893</v>
      </c>
      <c r="G32" s="44">
        <v>21000</v>
      </c>
      <c r="H32" s="154">
        <f t="shared" si="10"/>
        <v>0.13303600841294377</v>
      </c>
      <c r="I32" s="44">
        <v>13341</v>
      </c>
      <c r="J32" s="156">
        <f t="shared" si="11"/>
        <v>8.4515875630337273E-2</v>
      </c>
    </row>
    <row r="33" spans="1:10" ht="15" x14ac:dyDescent="0.2">
      <c r="A33" s="1" t="s">
        <v>13</v>
      </c>
      <c r="B33" s="4">
        <f>'General Info'!C33</f>
        <v>2380</v>
      </c>
      <c r="C33" s="19">
        <v>317264</v>
      </c>
      <c r="D33" s="63">
        <f t="shared" si="8"/>
        <v>133.30420168067226</v>
      </c>
      <c r="E33" s="19">
        <f>'Staff Expenditures'!E33</f>
        <v>235902</v>
      </c>
      <c r="F33" s="54">
        <f t="shared" si="9"/>
        <v>0.74355111200766555</v>
      </c>
      <c r="G33" s="19">
        <v>44465</v>
      </c>
      <c r="H33" s="54">
        <f t="shared" si="10"/>
        <v>0.14015141963790409</v>
      </c>
      <c r="I33" s="19">
        <v>36897</v>
      </c>
      <c r="J33" s="54">
        <f t="shared" si="11"/>
        <v>0.11629746835443038</v>
      </c>
    </row>
    <row r="34" spans="1:10" x14ac:dyDescent="0.2">
      <c r="B34" s="4"/>
      <c r="C34" s="19"/>
      <c r="D34" s="63"/>
      <c r="E34" s="19"/>
      <c r="F34" s="54"/>
      <c r="G34" s="19"/>
      <c r="H34" s="54"/>
      <c r="I34" s="19"/>
      <c r="J34" s="54"/>
    </row>
    <row r="35" spans="1:10" ht="15" x14ac:dyDescent="0.25">
      <c r="A35" s="6" t="s">
        <v>71</v>
      </c>
      <c r="B35" s="15">
        <f>'General Info'!C35</f>
        <v>581381</v>
      </c>
      <c r="C35" s="21">
        <f>SUM(C5:C33)</f>
        <v>34347543</v>
      </c>
      <c r="D35" s="65">
        <f>C35/B35</f>
        <v>59.079232035446637</v>
      </c>
      <c r="E35" s="21">
        <f>SUM(E5:E33)</f>
        <v>25037814</v>
      </c>
      <c r="F35" s="58">
        <f>AVERAGE(F5:F33)</f>
        <v>0.7517207902529317</v>
      </c>
      <c r="G35" s="21">
        <f>SUM(G5:G33)</f>
        <v>2305737</v>
      </c>
      <c r="H35" s="58">
        <f>AVERAGE(H5:H33)</f>
        <v>7.4668295272637367E-2</v>
      </c>
      <c r="I35" s="21">
        <f>SUM(I5:I33)</f>
        <v>7003992</v>
      </c>
      <c r="J35" s="58">
        <f>AVERAGE(J5:J33)</f>
        <v>0.17361091447443089</v>
      </c>
    </row>
    <row r="39" spans="1:10" x14ac:dyDescent="0.2">
      <c r="C39" s="54"/>
    </row>
    <row r="40" spans="1:10" x14ac:dyDescent="0.2">
      <c r="D40" s="54"/>
    </row>
  </sheetData>
  <mergeCells count="1">
    <mergeCell ref="A1:J1"/>
  </mergeCells>
  <pageMargins left="0.25" right="0.25" top="0.75" bottom="0.75" header="0.3" footer="0.3"/>
  <pageSetup paperSize="5" scale="9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G37"/>
  <sheetViews>
    <sheetView topLeftCell="A9" zoomScaleNormal="100" workbookViewId="0">
      <selection activeCell="C12" sqref="C12"/>
    </sheetView>
  </sheetViews>
  <sheetFormatPr defaultRowHeight="12.75" x14ac:dyDescent="0.2"/>
  <cols>
    <col min="1" max="1" width="35" customWidth="1"/>
    <col min="2" max="2" width="10.7109375" customWidth="1"/>
    <col min="3" max="3" width="11.140625" bestFit="1" customWidth="1"/>
    <col min="4" max="4" width="10.140625" bestFit="1" customWidth="1"/>
    <col min="5" max="5" width="11.140625" bestFit="1" customWidth="1"/>
    <col min="6" max="6" width="13.5703125" style="54" customWidth="1"/>
    <col min="7" max="7" width="14.42578125" style="63" customWidth="1"/>
  </cols>
  <sheetData>
    <row r="1" spans="1:7" x14ac:dyDescent="0.2">
      <c r="A1" s="265" t="s">
        <v>520</v>
      </c>
      <c r="B1" s="266"/>
      <c r="C1" s="266"/>
      <c r="D1" s="266"/>
      <c r="E1" s="266"/>
      <c r="F1" s="266"/>
      <c r="G1" s="267"/>
    </row>
    <row r="2" spans="1:7" ht="25.5" x14ac:dyDescent="0.2">
      <c r="A2" s="59"/>
      <c r="B2" s="34" t="s">
        <v>135</v>
      </c>
      <c r="C2" s="60" t="s">
        <v>152</v>
      </c>
      <c r="D2" s="60" t="s">
        <v>153</v>
      </c>
      <c r="E2" s="60" t="s">
        <v>154</v>
      </c>
      <c r="F2" s="50" t="s">
        <v>155</v>
      </c>
      <c r="G2" s="66" t="s">
        <v>156</v>
      </c>
    </row>
    <row r="3" spans="1:7" x14ac:dyDescent="0.2">
      <c r="C3" s="19"/>
      <c r="D3" s="19"/>
      <c r="E3" s="19"/>
    </row>
    <row r="4" spans="1:7" x14ac:dyDescent="0.2">
      <c r="A4" s="5" t="s">
        <v>70</v>
      </c>
      <c r="B4" s="14"/>
      <c r="C4" s="20"/>
      <c r="D4" s="20"/>
      <c r="E4" s="20"/>
      <c r="F4" s="57"/>
      <c r="G4" s="62"/>
    </row>
    <row r="5" spans="1:7" ht="15" x14ac:dyDescent="0.2">
      <c r="A5" s="1" t="s">
        <v>10</v>
      </c>
      <c r="B5" s="4">
        <f>'General Info'!C5</f>
        <v>100723</v>
      </c>
      <c r="C5" s="19">
        <v>2957165</v>
      </c>
      <c r="D5" s="19">
        <v>1333295</v>
      </c>
      <c r="E5" s="19">
        <f>C5+D5</f>
        <v>4290460</v>
      </c>
      <c r="F5" s="54">
        <f>D5/E5*100%</f>
        <v>0.3107580539149648</v>
      </c>
      <c r="G5" s="63">
        <f>E5/B5</f>
        <v>42.596626391191684</v>
      </c>
    </row>
    <row r="6" spans="1:7" ht="15" x14ac:dyDescent="0.2">
      <c r="A6" s="39" t="s">
        <v>12</v>
      </c>
      <c r="B6" s="169">
        <f>'General Info'!C6</f>
        <v>79601</v>
      </c>
      <c r="C6" s="44">
        <v>1453729</v>
      </c>
      <c r="D6" s="44">
        <v>754968</v>
      </c>
      <c r="E6" s="181">
        <f>C6+D6</f>
        <v>2208697</v>
      </c>
      <c r="F6" s="156">
        <f>D6/E6*100%</f>
        <v>0.34181601188392974</v>
      </c>
      <c r="G6" s="180">
        <f>E6/B6</f>
        <v>27.747101167070767</v>
      </c>
    </row>
    <row r="7" spans="1:7" ht="15" x14ac:dyDescent="0.2">
      <c r="A7" s="1"/>
      <c r="B7" s="4"/>
      <c r="C7" s="19"/>
      <c r="D7" s="19"/>
      <c r="E7" s="19"/>
    </row>
    <row r="8" spans="1:7" x14ac:dyDescent="0.2">
      <c r="A8" s="5" t="s">
        <v>67</v>
      </c>
      <c r="B8" s="10"/>
      <c r="C8" s="20"/>
      <c r="D8" s="20"/>
      <c r="E8" s="20"/>
      <c r="F8" s="57"/>
      <c r="G8" s="62"/>
    </row>
    <row r="9" spans="1:7" ht="15" x14ac:dyDescent="0.2">
      <c r="A9" s="1" t="s">
        <v>2</v>
      </c>
      <c r="B9" s="4">
        <f>'General Info'!C9</f>
        <v>47058</v>
      </c>
      <c r="C9" s="19">
        <v>1622558</v>
      </c>
      <c r="D9" s="19">
        <v>687038</v>
      </c>
      <c r="E9" s="19">
        <f>C9+D9</f>
        <v>2309596</v>
      </c>
      <c r="F9" s="54">
        <f>D9/E9*100%</f>
        <v>0.2974710728629596</v>
      </c>
      <c r="G9" s="63">
        <f>E9/B9</f>
        <v>49.079773896043179</v>
      </c>
    </row>
    <row r="10" spans="1:7" ht="15" x14ac:dyDescent="0.2">
      <c r="A10" s="39" t="s">
        <v>18</v>
      </c>
      <c r="B10" s="169">
        <f>'General Info'!C10</f>
        <v>41345</v>
      </c>
      <c r="C10" s="44">
        <v>1628136</v>
      </c>
      <c r="D10" s="44">
        <v>978902</v>
      </c>
      <c r="E10" s="181">
        <f t="shared" ref="E10:E14" si="0">C10+D10</f>
        <v>2607038</v>
      </c>
      <c r="F10" s="156">
        <f t="shared" ref="F10:F14" si="1">D10/E10*100%</f>
        <v>0.37548436194639279</v>
      </c>
      <c r="G10" s="180">
        <f t="shared" ref="G10:G14" si="2">E10/B10</f>
        <v>63.055702019591244</v>
      </c>
    </row>
    <row r="11" spans="1:7" ht="15" x14ac:dyDescent="0.2">
      <c r="A11" s="1" t="s">
        <v>6</v>
      </c>
      <c r="B11" s="4">
        <f>'General Info'!C11</f>
        <v>39472</v>
      </c>
      <c r="C11" s="19">
        <v>517324</v>
      </c>
      <c r="D11" s="19">
        <v>355863</v>
      </c>
      <c r="E11" s="19">
        <f t="shared" si="0"/>
        <v>873187</v>
      </c>
      <c r="F11" s="54">
        <f t="shared" si="1"/>
        <v>0.40754500467826477</v>
      </c>
      <c r="G11" s="63">
        <f t="shared" si="2"/>
        <v>22.121681191730847</v>
      </c>
    </row>
    <row r="12" spans="1:7" ht="15" x14ac:dyDescent="0.2">
      <c r="A12" s="39" t="s">
        <v>0</v>
      </c>
      <c r="B12" s="169">
        <f>'General Info'!C12</f>
        <v>38031</v>
      </c>
      <c r="C12" s="44">
        <v>716598</v>
      </c>
      <c r="D12" s="44">
        <v>195779</v>
      </c>
      <c r="E12" s="181">
        <f t="shared" si="0"/>
        <v>912377</v>
      </c>
      <c r="F12" s="156">
        <f t="shared" si="1"/>
        <v>0.21458125314425944</v>
      </c>
      <c r="G12" s="180">
        <f t="shared" si="2"/>
        <v>23.990349977649814</v>
      </c>
    </row>
    <row r="13" spans="1:7" ht="15" x14ac:dyDescent="0.2">
      <c r="A13" s="1" t="s">
        <v>16</v>
      </c>
      <c r="B13" s="4">
        <f>'General Info'!C13</f>
        <v>32096</v>
      </c>
      <c r="C13" s="19">
        <v>947500</v>
      </c>
      <c r="D13" s="19">
        <v>343000</v>
      </c>
      <c r="E13" s="19">
        <f t="shared" si="0"/>
        <v>1290500</v>
      </c>
      <c r="F13" s="54">
        <f t="shared" si="1"/>
        <v>0.26578845408756296</v>
      </c>
      <c r="G13" s="63">
        <f t="shared" si="2"/>
        <v>40.20750249252243</v>
      </c>
    </row>
    <row r="14" spans="1:7" ht="15" x14ac:dyDescent="0.2">
      <c r="A14" s="39" t="s">
        <v>14</v>
      </c>
      <c r="B14" s="169">
        <f>'General Info'!C14</f>
        <v>30518</v>
      </c>
      <c r="C14" s="44">
        <v>1049628</v>
      </c>
      <c r="D14" s="44">
        <v>567126</v>
      </c>
      <c r="E14" s="181">
        <f t="shared" si="0"/>
        <v>1616754</v>
      </c>
      <c r="F14" s="156">
        <f t="shared" si="1"/>
        <v>0.35078063824181044</v>
      </c>
      <c r="G14" s="180">
        <f t="shared" si="2"/>
        <v>52.977062717084998</v>
      </c>
    </row>
    <row r="15" spans="1:7" ht="15" x14ac:dyDescent="0.2">
      <c r="A15" s="1"/>
      <c r="B15" s="4"/>
      <c r="C15" s="19"/>
      <c r="D15" s="19"/>
      <c r="E15" s="19"/>
    </row>
    <row r="16" spans="1:7" x14ac:dyDescent="0.2">
      <c r="A16" s="5" t="s">
        <v>68</v>
      </c>
      <c r="B16" s="10"/>
      <c r="C16" s="20"/>
      <c r="D16" s="20"/>
      <c r="E16" s="20"/>
      <c r="F16" s="57"/>
      <c r="G16" s="62"/>
    </row>
    <row r="17" spans="1:7" ht="15" x14ac:dyDescent="0.2">
      <c r="A17" s="1" t="s">
        <v>19</v>
      </c>
      <c r="B17" s="4">
        <f>'General Info'!C17</f>
        <v>23287</v>
      </c>
      <c r="C17" s="19">
        <v>1910070</v>
      </c>
      <c r="D17" s="19">
        <v>674576</v>
      </c>
      <c r="E17" s="19">
        <f>C17+D17</f>
        <v>2584646</v>
      </c>
      <c r="F17" s="54">
        <f>D17/E17*100%</f>
        <v>0.26099357513562788</v>
      </c>
      <c r="G17" s="63">
        <f>E17/B17</f>
        <v>110.99093915059905</v>
      </c>
    </row>
    <row r="18" spans="1:7" ht="15" x14ac:dyDescent="0.2">
      <c r="A18" s="39" t="s">
        <v>20</v>
      </c>
      <c r="B18" s="169">
        <f>'General Info'!C18</f>
        <v>20712</v>
      </c>
      <c r="C18" s="150">
        <v>254860</v>
      </c>
      <c r="D18" s="150">
        <v>133359</v>
      </c>
      <c r="E18" s="181">
        <f t="shared" ref="E18:E23" si="3">C18+D18</f>
        <v>388219</v>
      </c>
      <c r="F18" s="156">
        <f t="shared" ref="F18:F23" si="4">D18/E18*100%</f>
        <v>0.34351487176052692</v>
      </c>
      <c r="G18" s="180">
        <f t="shared" ref="G18:G23" si="5">E18/B18</f>
        <v>18.743675164156045</v>
      </c>
    </row>
    <row r="19" spans="1:7" ht="15" x14ac:dyDescent="0.2">
      <c r="A19" s="1" t="s">
        <v>11</v>
      </c>
      <c r="B19" s="4">
        <f>'General Info'!C19</f>
        <v>20660</v>
      </c>
      <c r="C19" s="3">
        <v>752022</v>
      </c>
      <c r="D19" s="3">
        <v>192906</v>
      </c>
      <c r="E19" s="19">
        <f t="shared" si="3"/>
        <v>944928</v>
      </c>
      <c r="F19" s="54">
        <f t="shared" si="4"/>
        <v>0.20414888753428834</v>
      </c>
      <c r="G19" s="63">
        <f t="shared" si="5"/>
        <v>45.737076476282674</v>
      </c>
    </row>
    <row r="20" spans="1:7" ht="15" x14ac:dyDescent="0.2">
      <c r="A20" s="39" t="s">
        <v>3</v>
      </c>
      <c r="B20" s="169">
        <f>'General Info'!C20</f>
        <v>14542</v>
      </c>
      <c r="C20" s="150">
        <v>318779</v>
      </c>
      <c r="D20" s="150">
        <v>101117</v>
      </c>
      <c r="E20" s="181">
        <f t="shared" si="3"/>
        <v>419896</v>
      </c>
      <c r="F20" s="156">
        <f t="shared" si="4"/>
        <v>0.24081439213519537</v>
      </c>
      <c r="G20" s="180">
        <f t="shared" si="5"/>
        <v>28.874707743088983</v>
      </c>
    </row>
    <row r="21" spans="1:7" ht="15" x14ac:dyDescent="0.2">
      <c r="A21" s="1" t="s">
        <v>4</v>
      </c>
      <c r="B21" s="4">
        <f>'General Info'!C21</f>
        <v>13786</v>
      </c>
      <c r="C21" s="3">
        <v>836689</v>
      </c>
      <c r="D21" s="3">
        <v>341523</v>
      </c>
      <c r="E21" s="19">
        <f t="shared" si="3"/>
        <v>1178212</v>
      </c>
      <c r="F21" s="54">
        <f t="shared" si="4"/>
        <v>0.28986549110007365</v>
      </c>
      <c r="G21" s="63">
        <f t="shared" si="5"/>
        <v>85.464384157841295</v>
      </c>
    </row>
    <row r="22" spans="1:7" ht="15" x14ac:dyDescent="0.2">
      <c r="A22" s="39" t="s">
        <v>7</v>
      </c>
      <c r="B22" s="169">
        <f>'General Info'!C22</f>
        <v>12562</v>
      </c>
      <c r="C22" s="150">
        <v>148053</v>
      </c>
      <c r="D22" s="150">
        <v>66583</v>
      </c>
      <c r="E22" s="181">
        <f t="shared" si="3"/>
        <v>214636</v>
      </c>
      <c r="F22" s="156">
        <f t="shared" si="4"/>
        <v>0.31021357088279694</v>
      </c>
      <c r="G22" s="180">
        <f t="shared" si="5"/>
        <v>17.086132781404235</v>
      </c>
    </row>
    <row r="23" spans="1:7" ht="15" x14ac:dyDescent="0.2">
      <c r="A23" s="1" t="s">
        <v>1</v>
      </c>
      <c r="B23" s="4">
        <f>'General Info'!C23</f>
        <v>11855</v>
      </c>
      <c r="C23" s="3">
        <v>223265</v>
      </c>
      <c r="D23" s="3">
        <v>16355</v>
      </c>
      <c r="E23" s="19">
        <f t="shared" si="3"/>
        <v>239620</v>
      </c>
      <c r="F23" s="54">
        <f t="shared" si="4"/>
        <v>6.8253902011518236E-2</v>
      </c>
      <c r="G23" s="63">
        <f t="shared" si="5"/>
        <v>20.212568536482497</v>
      </c>
    </row>
    <row r="24" spans="1:7" x14ac:dyDescent="0.2">
      <c r="B24" s="4"/>
    </row>
    <row r="25" spans="1:7" x14ac:dyDescent="0.2">
      <c r="A25" s="5" t="s">
        <v>69</v>
      </c>
      <c r="B25" s="10"/>
      <c r="C25" s="20"/>
      <c r="D25" s="20"/>
      <c r="E25" s="20"/>
      <c r="F25" s="57"/>
      <c r="G25" s="62"/>
    </row>
    <row r="26" spans="1:7" ht="15" x14ac:dyDescent="0.2">
      <c r="A26" s="39" t="s">
        <v>17</v>
      </c>
      <c r="B26" s="169">
        <f>'General Info'!C26</f>
        <v>8763</v>
      </c>
      <c r="C26" s="181">
        <v>691073</v>
      </c>
      <c r="D26" s="181">
        <v>220316</v>
      </c>
      <c r="E26" s="181">
        <f>C26+D26</f>
        <v>911389</v>
      </c>
      <c r="F26" s="156">
        <f>D26/E26*100%</f>
        <v>0.24173651426558801</v>
      </c>
      <c r="G26" s="180">
        <f>E26/B26</f>
        <v>104.00422229829967</v>
      </c>
    </row>
    <row r="27" spans="1:7" ht="15" x14ac:dyDescent="0.2">
      <c r="A27" s="1" t="s">
        <v>15</v>
      </c>
      <c r="B27" s="4">
        <f>'General Info'!C27</f>
        <v>8645</v>
      </c>
      <c r="C27" s="3">
        <v>195238</v>
      </c>
      <c r="D27" s="3">
        <v>58576</v>
      </c>
      <c r="E27" s="182">
        <f t="shared" ref="E27:E33" si="6">C27+D27</f>
        <v>253814</v>
      </c>
      <c r="F27" s="178">
        <f t="shared" ref="F27:F33" si="7">D27/E27*100%</f>
        <v>0.2307831719290504</v>
      </c>
      <c r="G27" s="183">
        <f t="shared" ref="G27:G33" si="8">E27/B27</f>
        <v>29.35962984384037</v>
      </c>
    </row>
    <row r="28" spans="1:7" ht="15" x14ac:dyDescent="0.2">
      <c r="A28" s="39" t="s">
        <v>9</v>
      </c>
      <c r="B28" s="169">
        <f>'General Info'!C28</f>
        <v>8730</v>
      </c>
      <c r="C28" s="150">
        <v>277794</v>
      </c>
      <c r="D28" s="150">
        <v>112334</v>
      </c>
      <c r="E28" s="181">
        <f t="shared" si="6"/>
        <v>390128</v>
      </c>
      <c r="F28" s="156">
        <f t="shared" si="7"/>
        <v>0.28794139359389737</v>
      </c>
      <c r="G28" s="180">
        <f t="shared" si="8"/>
        <v>44.688201603665519</v>
      </c>
    </row>
    <row r="29" spans="1:7" ht="15" x14ac:dyDescent="0.2">
      <c r="A29" s="1" t="s">
        <v>21</v>
      </c>
      <c r="B29" s="4">
        <f>'General Info'!C29</f>
        <v>7719</v>
      </c>
      <c r="C29" s="3">
        <v>162943</v>
      </c>
      <c r="D29" s="3">
        <v>104339</v>
      </c>
      <c r="E29" s="182">
        <f t="shared" si="6"/>
        <v>267282</v>
      </c>
      <c r="F29" s="178">
        <f t="shared" si="7"/>
        <v>0.39037047014015158</v>
      </c>
      <c r="G29" s="183">
        <f t="shared" si="8"/>
        <v>34.626506024096386</v>
      </c>
    </row>
    <row r="30" spans="1:7" ht="15" x14ac:dyDescent="0.2">
      <c r="A30" s="39" t="s">
        <v>5</v>
      </c>
      <c r="B30" s="169">
        <f>'General Info'!C30</f>
        <v>7448</v>
      </c>
      <c r="C30" s="150">
        <v>318719</v>
      </c>
      <c r="D30" s="150">
        <v>165685</v>
      </c>
      <c r="E30" s="181">
        <f t="shared" si="6"/>
        <v>484404</v>
      </c>
      <c r="F30" s="156">
        <f t="shared" si="7"/>
        <v>0.34203887664015986</v>
      </c>
      <c r="G30" s="180">
        <f t="shared" si="8"/>
        <v>65.038131041890438</v>
      </c>
    </row>
    <row r="31" spans="1:7" ht="15" x14ac:dyDescent="0.2">
      <c r="A31" s="1" t="s">
        <v>22</v>
      </c>
      <c r="B31" s="4">
        <f>'General Info'!C31</f>
        <v>6860</v>
      </c>
      <c r="C31" s="3">
        <v>201913</v>
      </c>
      <c r="D31" s="3">
        <v>90705</v>
      </c>
      <c r="E31" s="182">
        <f t="shared" si="6"/>
        <v>292618</v>
      </c>
      <c r="F31" s="178">
        <f t="shared" si="7"/>
        <v>0.3099775133450437</v>
      </c>
      <c r="G31" s="183">
        <f t="shared" si="8"/>
        <v>42.655685131195334</v>
      </c>
    </row>
    <row r="32" spans="1:7" ht="15" x14ac:dyDescent="0.2">
      <c r="A32" s="39" t="s">
        <v>8</v>
      </c>
      <c r="B32" s="169">
        <f>'General Info'!C32</f>
        <v>4588</v>
      </c>
      <c r="C32" s="150">
        <v>96095</v>
      </c>
      <c r="D32" s="150">
        <v>27416</v>
      </c>
      <c r="E32" s="181">
        <f t="shared" si="6"/>
        <v>123511</v>
      </c>
      <c r="F32" s="156">
        <f t="shared" si="7"/>
        <v>0.22197213203682264</v>
      </c>
      <c r="G32" s="180">
        <f t="shared" si="8"/>
        <v>26.920444638186574</v>
      </c>
    </row>
    <row r="33" spans="1:7" ht="15" x14ac:dyDescent="0.2">
      <c r="A33" s="1" t="s">
        <v>13</v>
      </c>
      <c r="B33" s="4">
        <f>'General Info'!C33</f>
        <v>2380</v>
      </c>
      <c r="C33" s="3">
        <v>199390</v>
      </c>
      <c r="D33" s="3">
        <v>36512</v>
      </c>
      <c r="E33" s="182">
        <f t="shared" si="6"/>
        <v>235902</v>
      </c>
      <c r="F33" s="178">
        <f t="shared" si="7"/>
        <v>0.15477613585302372</v>
      </c>
      <c r="G33" s="183">
        <f t="shared" si="8"/>
        <v>99.118487394957981</v>
      </c>
    </row>
    <row r="34" spans="1:7" x14ac:dyDescent="0.2">
      <c r="B34" s="4"/>
      <c r="C34" s="19"/>
      <c r="D34" s="19"/>
      <c r="E34" s="19"/>
    </row>
    <row r="35" spans="1:7" ht="15" x14ac:dyDescent="0.25">
      <c r="A35" s="6" t="s">
        <v>71</v>
      </c>
      <c r="B35" s="15">
        <f>'General Info'!C35</f>
        <v>581381</v>
      </c>
      <c r="C35" s="21">
        <f>SUM(C5:C33)</f>
        <v>17479541</v>
      </c>
      <c r="D35" s="21">
        <f>SUM(D5:D33)</f>
        <v>7558273</v>
      </c>
      <c r="E35" s="21">
        <f>SUM(E5:E33)</f>
        <v>25037814</v>
      </c>
      <c r="F35" s="58">
        <f>D35/E35*100%</f>
        <v>0.30187431698310402</v>
      </c>
      <c r="G35" s="65">
        <f>E35/B35</f>
        <v>43.066102951420838</v>
      </c>
    </row>
    <row r="36" spans="1:7" x14ac:dyDescent="0.2">
      <c r="F36"/>
      <c r="G36"/>
    </row>
    <row r="37" spans="1:7" x14ac:dyDescent="0.2">
      <c r="G37"/>
    </row>
  </sheetData>
  <mergeCells count="1">
    <mergeCell ref="A1:G1"/>
  </mergeCells>
  <pageMargins left="0.25" right="0.25" top="0.75" bottom="0.75" header="0.3" footer="0.3"/>
  <pageSetup paperSize="5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38"/>
  <sheetViews>
    <sheetView topLeftCell="A23" zoomScaleNormal="100" workbookViewId="0">
      <selection activeCell="L37" sqref="L37"/>
    </sheetView>
  </sheetViews>
  <sheetFormatPr defaultRowHeight="12.75" x14ac:dyDescent="0.2"/>
  <cols>
    <col min="1" max="1" width="35.7109375" customWidth="1"/>
    <col min="2" max="3" width="10.85546875" customWidth="1"/>
    <col min="4" max="4" width="11.85546875" style="63" customWidth="1"/>
    <col min="5" max="5" width="10.140625" bestFit="1" customWidth="1"/>
    <col min="7" max="8" width="10.28515625" customWidth="1"/>
    <col min="11" max="11" width="11" customWidth="1"/>
    <col min="12" max="12" width="40.140625" bestFit="1" customWidth="1"/>
    <col min="13" max="13" width="27.7109375" bestFit="1" customWidth="1"/>
  </cols>
  <sheetData>
    <row r="1" spans="1:13" s="26" customFormat="1" x14ac:dyDescent="0.2">
      <c r="A1" s="269" t="s">
        <v>521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3" s="26" customFormat="1" ht="38.25" x14ac:dyDescent="0.2">
      <c r="A2" s="67"/>
      <c r="B2" s="34" t="s">
        <v>135</v>
      </c>
      <c r="C2" s="60" t="s">
        <v>157</v>
      </c>
      <c r="D2" s="68" t="s">
        <v>158</v>
      </c>
      <c r="E2" s="60" t="s">
        <v>159</v>
      </c>
      <c r="F2" s="50" t="s">
        <v>160</v>
      </c>
      <c r="G2" s="60" t="s">
        <v>161</v>
      </c>
      <c r="H2" s="50" t="s">
        <v>162</v>
      </c>
      <c r="I2" s="60" t="s">
        <v>163</v>
      </c>
      <c r="J2" s="50" t="s">
        <v>164</v>
      </c>
    </row>
    <row r="3" spans="1:13" x14ac:dyDescent="0.2">
      <c r="C3" s="19"/>
      <c r="E3" s="19"/>
      <c r="F3" s="19"/>
      <c r="G3" s="19"/>
      <c r="H3" s="19"/>
      <c r="I3" s="19"/>
      <c r="J3" s="19"/>
    </row>
    <row r="4" spans="1:13" x14ac:dyDescent="0.2">
      <c r="A4" s="5" t="s">
        <v>70</v>
      </c>
      <c r="B4" s="14"/>
      <c r="C4" s="20"/>
      <c r="D4" s="62"/>
      <c r="E4" s="20"/>
      <c r="F4" s="20"/>
      <c r="G4" s="20"/>
      <c r="H4" s="20"/>
      <c r="I4" s="20"/>
      <c r="J4" s="20"/>
    </row>
    <row r="5" spans="1:13" ht="15" x14ac:dyDescent="0.2">
      <c r="A5" s="1" t="s">
        <v>10</v>
      </c>
      <c r="B5" s="4">
        <f>'General Info'!C5</f>
        <v>100723</v>
      </c>
      <c r="C5" s="19">
        <f>E5+G5+I5</f>
        <v>265802</v>
      </c>
      <c r="D5" s="63">
        <f>C5/B5</f>
        <v>2.638940460470796</v>
      </c>
      <c r="E5" s="19">
        <v>190100</v>
      </c>
      <c r="F5" s="54">
        <f>E5/C5*100%</f>
        <v>0.71519401659882165</v>
      </c>
      <c r="G5" s="19">
        <v>38000</v>
      </c>
      <c r="H5" s="54">
        <f>G5/C5*100%</f>
        <v>0.14296355934116373</v>
      </c>
      <c r="I5" s="19">
        <v>37702</v>
      </c>
      <c r="J5" s="54">
        <f>I5/C5*100%</f>
        <v>0.1418424240600146</v>
      </c>
      <c r="K5" s="2"/>
    </row>
    <row r="6" spans="1:13" ht="15" x14ac:dyDescent="0.2">
      <c r="A6" s="39" t="s">
        <v>12</v>
      </c>
      <c r="B6" s="169">
        <f>'General Info'!C6</f>
        <v>79601</v>
      </c>
      <c r="C6" s="44">
        <f>E6+G6+I6</f>
        <v>340607</v>
      </c>
      <c r="D6" s="180">
        <f>C6/B6</f>
        <v>4.2789286566751672</v>
      </c>
      <c r="E6" s="44">
        <v>173920</v>
      </c>
      <c r="F6" s="156">
        <f>E6/C6*100%</f>
        <v>0.51061780879429963</v>
      </c>
      <c r="G6" s="44">
        <v>133424</v>
      </c>
      <c r="H6" s="156">
        <f>G6/C6*100%</f>
        <v>0.39172418652582008</v>
      </c>
      <c r="I6" s="44">
        <v>33263</v>
      </c>
      <c r="J6" s="156">
        <f>I6/C6*100%</f>
        <v>9.7658004679880325E-2</v>
      </c>
      <c r="K6" s="2"/>
    </row>
    <row r="7" spans="1:13" ht="15" x14ac:dyDescent="0.2">
      <c r="A7" s="1"/>
      <c r="B7" s="4"/>
      <c r="C7" s="19"/>
      <c r="E7" s="19"/>
      <c r="F7" s="54"/>
      <c r="G7" s="19"/>
      <c r="H7" s="54"/>
      <c r="I7" s="19"/>
      <c r="J7" s="54"/>
    </row>
    <row r="8" spans="1:13" x14ac:dyDescent="0.2">
      <c r="A8" s="5" t="s">
        <v>67</v>
      </c>
      <c r="B8" s="10"/>
      <c r="C8" s="20"/>
      <c r="D8" s="62"/>
      <c r="E8" s="20"/>
      <c r="F8" s="57"/>
      <c r="G8" s="20"/>
      <c r="H8" s="57"/>
      <c r="I8" s="20"/>
      <c r="J8" s="57"/>
    </row>
    <row r="9" spans="1:13" ht="15" x14ac:dyDescent="0.2">
      <c r="A9" s="1" t="s">
        <v>2</v>
      </c>
      <c r="B9" s="4">
        <f>'General Info'!C9</f>
        <v>47058</v>
      </c>
      <c r="C9" s="19">
        <f t="shared" ref="C9:C14" si="0">E9+G9+I9</f>
        <v>248066</v>
      </c>
      <c r="D9" s="63">
        <f>C9/B9</f>
        <v>5.2714947511581451</v>
      </c>
      <c r="E9" s="19">
        <v>110704</v>
      </c>
      <c r="F9" s="54">
        <f>E9/C9*100%</f>
        <v>0.4462683318149202</v>
      </c>
      <c r="G9" s="19">
        <v>100287</v>
      </c>
      <c r="H9" s="54">
        <f>G9/C9*100%</f>
        <v>0.40427547507518158</v>
      </c>
      <c r="I9" s="19">
        <v>37075</v>
      </c>
      <c r="J9" s="54">
        <f>I9/C9*100%</f>
        <v>0.14945619310989816</v>
      </c>
    </row>
    <row r="10" spans="1:13" ht="15" x14ac:dyDescent="0.2">
      <c r="A10" s="39" t="s">
        <v>18</v>
      </c>
      <c r="B10" s="169">
        <f>'General Info'!C10</f>
        <v>41345</v>
      </c>
      <c r="C10" s="44">
        <f t="shared" si="0"/>
        <v>229889</v>
      </c>
      <c r="D10" s="180">
        <f t="shared" ref="D10:D14" si="1">C10/B10</f>
        <v>5.5602612165920906</v>
      </c>
      <c r="E10" s="181">
        <v>141866</v>
      </c>
      <c r="F10" s="156">
        <f t="shared" ref="F10:F14" si="2">E10/C10*100%</f>
        <v>0.6171065166232399</v>
      </c>
      <c r="G10" s="181">
        <v>88023</v>
      </c>
      <c r="H10" s="156">
        <f t="shared" ref="H10:H14" si="3">G10/C10*100%</f>
        <v>0.3828934833767601</v>
      </c>
      <c r="I10" s="181">
        <v>0</v>
      </c>
      <c r="J10" s="156">
        <f t="shared" ref="J10:J14" si="4">I10/C10*100%</f>
        <v>0</v>
      </c>
      <c r="K10" s="2"/>
    </row>
    <row r="11" spans="1:13" ht="15" x14ac:dyDescent="0.25">
      <c r="A11" s="230" t="s">
        <v>6</v>
      </c>
      <c r="B11" s="4">
        <f>'General Info'!C11</f>
        <v>39472</v>
      </c>
      <c r="C11" s="19">
        <f t="shared" si="0"/>
        <v>60879</v>
      </c>
      <c r="D11" s="63">
        <f t="shared" si="1"/>
        <v>1.5423338062423997</v>
      </c>
      <c r="E11" s="19">
        <v>50861</v>
      </c>
      <c r="F11" s="54">
        <f t="shared" si="2"/>
        <v>0.83544407759654393</v>
      </c>
      <c r="G11" s="19">
        <v>6017</v>
      </c>
      <c r="H11" s="54">
        <f>G11/C11*100%</f>
        <v>9.883539479952036E-2</v>
      </c>
      <c r="I11" s="19">
        <v>4001</v>
      </c>
      <c r="J11" s="202">
        <f t="shared" si="4"/>
        <v>6.572052760393568E-2</v>
      </c>
      <c r="L11" s="125"/>
      <c r="M11" s="125"/>
    </row>
    <row r="12" spans="1:13" ht="15" x14ac:dyDescent="0.25">
      <c r="A12" s="39" t="s">
        <v>0</v>
      </c>
      <c r="B12" s="169">
        <f>'General Info'!C12</f>
        <v>38031</v>
      </c>
      <c r="C12" s="44">
        <f t="shared" si="0"/>
        <v>0</v>
      </c>
      <c r="D12" s="180">
        <f t="shared" si="1"/>
        <v>0</v>
      </c>
      <c r="E12" s="181">
        <v>0</v>
      </c>
      <c r="F12" s="258" t="s">
        <v>514</v>
      </c>
      <c r="G12" s="181">
        <v>0</v>
      </c>
      <c r="H12" s="258" t="s">
        <v>514</v>
      </c>
      <c r="I12" s="181">
        <v>0</v>
      </c>
      <c r="J12" s="258" t="s">
        <v>514</v>
      </c>
      <c r="L12" s="126"/>
      <c r="M12" s="127"/>
    </row>
    <row r="13" spans="1:13" ht="15" x14ac:dyDescent="0.25">
      <c r="A13" s="1" t="s">
        <v>16</v>
      </c>
      <c r="B13" s="4">
        <f>'General Info'!C13</f>
        <v>32096</v>
      </c>
      <c r="C13" s="19">
        <f t="shared" si="0"/>
        <v>168680</v>
      </c>
      <c r="D13" s="63">
        <f t="shared" si="1"/>
        <v>5.2554835493519443</v>
      </c>
      <c r="E13" s="19">
        <v>129771</v>
      </c>
      <c r="F13" s="54">
        <f t="shared" si="2"/>
        <v>0.76933246383685083</v>
      </c>
      <c r="G13" s="19">
        <v>15956</v>
      </c>
      <c r="H13" s="54">
        <f t="shared" si="3"/>
        <v>9.4593312781598299E-2</v>
      </c>
      <c r="I13" s="19">
        <v>22953</v>
      </c>
      <c r="J13" s="54">
        <f t="shared" si="4"/>
        <v>0.13607422338155087</v>
      </c>
      <c r="K13" s="2"/>
      <c r="L13" s="126"/>
      <c r="M13" s="127"/>
    </row>
    <row r="14" spans="1:13" ht="15" x14ac:dyDescent="0.25">
      <c r="A14" s="39" t="s">
        <v>14</v>
      </c>
      <c r="B14" s="169">
        <f>'General Info'!C14</f>
        <v>30518</v>
      </c>
      <c r="C14" s="44">
        <f t="shared" si="0"/>
        <v>93916</v>
      </c>
      <c r="D14" s="180">
        <f t="shared" si="1"/>
        <v>3.0773969460646176</v>
      </c>
      <c r="E14" s="181">
        <v>56060</v>
      </c>
      <c r="F14" s="156">
        <f t="shared" si="2"/>
        <v>0.59691639337280122</v>
      </c>
      <c r="G14" s="181">
        <v>22969</v>
      </c>
      <c r="H14" s="156">
        <f t="shared" si="3"/>
        <v>0.24456961540099664</v>
      </c>
      <c r="I14" s="181">
        <v>14887</v>
      </c>
      <c r="J14" s="156">
        <f t="shared" si="4"/>
        <v>0.15851399122620213</v>
      </c>
      <c r="K14" s="2"/>
      <c r="L14" s="126"/>
      <c r="M14" s="127"/>
    </row>
    <row r="15" spans="1:13" ht="15" x14ac:dyDescent="0.25">
      <c r="A15" s="1"/>
      <c r="B15" s="4"/>
      <c r="C15" s="19"/>
      <c r="E15" s="19"/>
      <c r="F15" s="54"/>
      <c r="G15" s="19"/>
      <c r="H15" s="54"/>
      <c r="I15" s="19"/>
      <c r="J15" s="54"/>
      <c r="L15" s="126"/>
      <c r="M15" s="127"/>
    </row>
    <row r="16" spans="1:13" ht="15" x14ac:dyDescent="0.25">
      <c r="A16" s="5" t="s">
        <v>68</v>
      </c>
      <c r="B16" s="10"/>
      <c r="C16" s="20"/>
      <c r="D16" s="62"/>
      <c r="E16" s="20"/>
      <c r="F16" s="57"/>
      <c r="G16" s="20"/>
      <c r="H16" s="57"/>
      <c r="I16" s="20"/>
      <c r="J16" s="57"/>
      <c r="L16" s="126"/>
      <c r="M16" s="127"/>
    </row>
    <row r="17" spans="1:13" ht="15" x14ac:dyDescent="0.25">
      <c r="A17" s="1" t="s">
        <v>19</v>
      </c>
      <c r="B17" s="4">
        <f>'General Info'!C17</f>
        <v>23287</v>
      </c>
      <c r="C17" s="19">
        <f t="shared" ref="C17:C23" si="5">E17+G17+I17</f>
        <v>254531</v>
      </c>
      <c r="D17" s="63">
        <f>C17/B17</f>
        <v>10.930175634474169</v>
      </c>
      <c r="E17" s="19">
        <v>91971</v>
      </c>
      <c r="F17" s="54">
        <f>E17/C17*100%</f>
        <v>0.36133516153238704</v>
      </c>
      <c r="G17" s="19">
        <v>118476</v>
      </c>
      <c r="H17" s="54">
        <f>G17/C17*100%</f>
        <v>0.46546786049636391</v>
      </c>
      <c r="I17" s="19">
        <v>44084</v>
      </c>
      <c r="J17" s="54">
        <f>I17/C17*100%</f>
        <v>0.17319697797124908</v>
      </c>
      <c r="K17" s="2"/>
      <c r="L17" s="126"/>
      <c r="M17" s="127"/>
    </row>
    <row r="18" spans="1:13" ht="15" x14ac:dyDescent="0.25">
      <c r="A18" s="39" t="s">
        <v>20</v>
      </c>
      <c r="B18" s="169">
        <f>'General Info'!C18</f>
        <v>20712</v>
      </c>
      <c r="C18" s="44">
        <f t="shared" si="5"/>
        <v>22715</v>
      </c>
      <c r="D18" s="180">
        <f t="shared" ref="D18:D23" si="6">C18/B18</f>
        <v>1.0967072228659713</v>
      </c>
      <c r="E18" s="181">
        <v>14910</v>
      </c>
      <c r="F18" s="156">
        <f t="shared" ref="F18:F23" si="7">E18/C18*100%</f>
        <v>0.65639445300462251</v>
      </c>
      <c r="G18" s="181">
        <v>6500</v>
      </c>
      <c r="H18" s="156">
        <f t="shared" ref="H18:H23" si="8">G18/C18*100%</f>
        <v>0.28615452344265901</v>
      </c>
      <c r="I18" s="181">
        <v>1305</v>
      </c>
      <c r="J18" s="156">
        <f t="shared" ref="J18:J23" si="9">I18/C18*100%</f>
        <v>5.7451023552718465E-2</v>
      </c>
      <c r="K18" s="2"/>
      <c r="L18" s="126"/>
      <c r="M18" s="127"/>
    </row>
    <row r="19" spans="1:13" ht="15" x14ac:dyDescent="0.25">
      <c r="A19" s="1" t="s">
        <v>11</v>
      </c>
      <c r="B19" s="4">
        <f>'General Info'!C19</f>
        <v>20660</v>
      </c>
      <c r="C19" s="19">
        <f t="shared" si="5"/>
        <v>164285</v>
      </c>
      <c r="D19" s="63">
        <f t="shared" si="6"/>
        <v>7.951839303000968</v>
      </c>
      <c r="E19" s="19">
        <v>108952</v>
      </c>
      <c r="F19" s="54">
        <f t="shared" si="7"/>
        <v>0.66318897038682778</v>
      </c>
      <c r="G19" s="19">
        <v>32000</v>
      </c>
      <c r="H19" s="54">
        <f t="shared" si="8"/>
        <v>0.19478345558024165</v>
      </c>
      <c r="I19" s="19">
        <v>23333</v>
      </c>
      <c r="J19" s="54">
        <f t="shared" si="9"/>
        <v>0.14202757403293056</v>
      </c>
      <c r="K19" s="2"/>
      <c r="L19" s="126"/>
      <c r="M19" s="127"/>
    </row>
    <row r="20" spans="1:13" ht="15" x14ac:dyDescent="0.25">
      <c r="A20" s="39" t="s">
        <v>3</v>
      </c>
      <c r="B20" s="169">
        <f>'General Info'!C20</f>
        <v>14542</v>
      </c>
      <c r="C20" s="44">
        <f t="shared" si="5"/>
        <v>85000</v>
      </c>
      <c r="D20" s="180">
        <f t="shared" si="6"/>
        <v>5.8451382203273274</v>
      </c>
      <c r="E20" s="181">
        <v>76500</v>
      </c>
      <c r="F20" s="156">
        <f t="shared" si="7"/>
        <v>0.9</v>
      </c>
      <c r="G20" s="181">
        <v>6000</v>
      </c>
      <c r="H20" s="156">
        <f t="shared" si="8"/>
        <v>7.0588235294117646E-2</v>
      </c>
      <c r="I20" s="181">
        <v>2500</v>
      </c>
      <c r="J20" s="156">
        <f t="shared" si="9"/>
        <v>2.9411764705882353E-2</v>
      </c>
      <c r="L20" s="126"/>
      <c r="M20" s="127"/>
    </row>
    <row r="21" spans="1:13" ht="15" x14ac:dyDescent="0.25">
      <c r="A21" s="1" t="s">
        <v>4</v>
      </c>
      <c r="B21" s="4">
        <f>'General Info'!C21</f>
        <v>13786</v>
      </c>
      <c r="C21" s="19">
        <f t="shared" si="5"/>
        <v>58439</v>
      </c>
      <c r="D21" s="63">
        <f t="shared" si="6"/>
        <v>4.2390105904540842</v>
      </c>
      <c r="E21" s="19">
        <v>38257</v>
      </c>
      <c r="F21" s="54">
        <f t="shared" si="7"/>
        <v>0.65464843683156793</v>
      </c>
      <c r="G21" s="19">
        <v>10741</v>
      </c>
      <c r="H21" s="54">
        <f t="shared" si="8"/>
        <v>0.18379849073392768</v>
      </c>
      <c r="I21" s="19">
        <v>9441</v>
      </c>
      <c r="J21" s="54">
        <f t="shared" si="9"/>
        <v>0.16155307243450434</v>
      </c>
      <c r="L21" s="126"/>
      <c r="M21" s="127"/>
    </row>
    <row r="22" spans="1:13" ht="15" x14ac:dyDescent="0.25">
      <c r="A22" s="39" t="s">
        <v>7</v>
      </c>
      <c r="B22" s="169">
        <f>'General Info'!C22</f>
        <v>12562</v>
      </c>
      <c r="C22" s="44">
        <f t="shared" si="5"/>
        <v>26995</v>
      </c>
      <c r="D22" s="180">
        <f t="shared" si="6"/>
        <v>2.1489412513930901</v>
      </c>
      <c r="E22" s="181">
        <v>24050</v>
      </c>
      <c r="F22" s="156">
        <f t="shared" si="7"/>
        <v>0.89090572328208928</v>
      </c>
      <c r="G22" s="181">
        <v>2945</v>
      </c>
      <c r="H22" s="156">
        <f t="shared" si="8"/>
        <v>0.10909427671791072</v>
      </c>
      <c r="I22" s="181">
        <v>0</v>
      </c>
      <c r="J22" s="156">
        <f t="shared" si="9"/>
        <v>0</v>
      </c>
      <c r="L22" s="126"/>
      <c r="M22" s="127"/>
    </row>
    <row r="23" spans="1:13" ht="15" x14ac:dyDescent="0.25">
      <c r="A23" s="1" t="s">
        <v>1</v>
      </c>
      <c r="B23" s="4">
        <f>'General Info'!C23</f>
        <v>11855</v>
      </c>
      <c r="C23" s="19">
        <f t="shared" si="5"/>
        <v>23073</v>
      </c>
      <c r="D23" s="63">
        <f t="shared" si="6"/>
        <v>1.94626739772248</v>
      </c>
      <c r="E23" s="19">
        <v>23073</v>
      </c>
      <c r="F23" s="54">
        <f t="shared" si="7"/>
        <v>1</v>
      </c>
      <c r="G23" s="19">
        <v>0</v>
      </c>
      <c r="H23" s="54">
        <f t="shared" si="8"/>
        <v>0</v>
      </c>
      <c r="I23" s="19">
        <v>0</v>
      </c>
      <c r="J23" s="54">
        <f t="shared" si="9"/>
        <v>0</v>
      </c>
      <c r="L23" s="126"/>
      <c r="M23" s="127"/>
    </row>
    <row r="24" spans="1:13" ht="15" x14ac:dyDescent="0.25">
      <c r="A24" s="176"/>
      <c r="B24" s="4"/>
      <c r="C24" s="182"/>
      <c r="D24" s="183"/>
      <c r="E24" s="182"/>
      <c r="F24" s="178"/>
      <c r="G24" s="182"/>
      <c r="H24" s="178"/>
      <c r="I24" s="182"/>
      <c r="J24" s="178"/>
      <c r="L24" s="126"/>
      <c r="M24" s="127"/>
    </row>
    <row r="25" spans="1:13" ht="15" x14ac:dyDescent="0.25">
      <c r="A25" s="151" t="s">
        <v>69</v>
      </c>
      <c r="B25" s="10"/>
      <c r="C25" s="20"/>
      <c r="D25" s="62"/>
      <c r="E25" s="20"/>
      <c r="F25" s="57"/>
      <c r="G25" s="20"/>
      <c r="H25" s="57"/>
      <c r="I25" s="20"/>
      <c r="J25" s="57"/>
      <c r="L25" s="126"/>
      <c r="M25" s="127"/>
    </row>
    <row r="26" spans="1:13" ht="15" x14ac:dyDescent="0.25">
      <c r="A26" s="184" t="s">
        <v>17</v>
      </c>
      <c r="B26" s="169">
        <f>'General Info'!C26</f>
        <v>8763</v>
      </c>
      <c r="C26" s="44">
        <f t="shared" ref="C26:C33" si="10">E26+G26+I26</f>
        <v>74611</v>
      </c>
      <c r="D26" s="153">
        <f>C26/B26</f>
        <v>8.5143215793677971</v>
      </c>
      <c r="E26" s="152">
        <v>48262</v>
      </c>
      <c r="F26" s="154">
        <f>E26/C26*100%</f>
        <v>0.64684831995282199</v>
      </c>
      <c r="G26" s="152">
        <v>7500</v>
      </c>
      <c r="H26" s="154">
        <f>G26/C26*100%</f>
        <v>0.10052137084344132</v>
      </c>
      <c r="I26" s="152">
        <v>18849</v>
      </c>
      <c r="J26" s="154">
        <f>I26/C26*100%</f>
        <v>0.25263030920373669</v>
      </c>
      <c r="K26" s="2"/>
      <c r="L26" s="126"/>
      <c r="M26" s="127"/>
    </row>
    <row r="27" spans="1:13" ht="15" x14ac:dyDescent="0.25">
      <c r="A27" s="1" t="s">
        <v>15</v>
      </c>
      <c r="B27" s="4">
        <f>'General Info'!C27</f>
        <v>8645</v>
      </c>
      <c r="C27" s="19">
        <f t="shared" si="10"/>
        <v>42131</v>
      </c>
      <c r="D27" s="185">
        <f t="shared" ref="D27:D33" si="11">C27/B27</f>
        <v>4.8734528629265474</v>
      </c>
      <c r="E27" s="182">
        <v>37918</v>
      </c>
      <c r="F27" s="186">
        <f t="shared" ref="F27:F33" si="12">E27/C27*100%</f>
        <v>0.90000237354916812</v>
      </c>
      <c r="G27" s="182">
        <v>4213</v>
      </c>
      <c r="H27" s="186">
        <f t="shared" ref="H27:H33" si="13">G27/C27*100%</f>
        <v>9.9997626450831933E-2</v>
      </c>
      <c r="I27" s="182">
        <v>0</v>
      </c>
      <c r="J27" s="186">
        <f t="shared" ref="J27:J33" si="14">I27/C27*100%</f>
        <v>0</v>
      </c>
      <c r="K27" s="2"/>
      <c r="L27" s="126"/>
      <c r="M27" s="127"/>
    </row>
    <row r="28" spans="1:13" ht="15" x14ac:dyDescent="0.25">
      <c r="A28" s="39" t="s">
        <v>9</v>
      </c>
      <c r="B28" s="169">
        <f>'General Info'!C28</f>
        <v>8730</v>
      </c>
      <c r="C28" s="44">
        <f t="shared" si="10"/>
        <v>25234</v>
      </c>
      <c r="D28" s="153">
        <f t="shared" si="11"/>
        <v>2.8904925544100801</v>
      </c>
      <c r="E28" s="44">
        <v>25234</v>
      </c>
      <c r="F28" s="154">
        <f t="shared" si="12"/>
        <v>1</v>
      </c>
      <c r="G28" s="44">
        <v>0</v>
      </c>
      <c r="H28" s="154">
        <f t="shared" si="13"/>
        <v>0</v>
      </c>
      <c r="I28" s="44">
        <v>0</v>
      </c>
      <c r="J28" s="154">
        <f t="shared" si="14"/>
        <v>0</v>
      </c>
      <c r="K28" s="2"/>
      <c r="L28" s="126"/>
      <c r="M28" s="127"/>
    </row>
    <row r="29" spans="1:13" ht="15" x14ac:dyDescent="0.25">
      <c r="A29" s="1" t="s">
        <v>21</v>
      </c>
      <c r="B29" s="4">
        <f>'General Info'!C29</f>
        <v>7719</v>
      </c>
      <c r="C29" s="19">
        <f t="shared" si="10"/>
        <v>24000</v>
      </c>
      <c r="D29" s="185">
        <f t="shared" si="11"/>
        <v>3.1092110376991839</v>
      </c>
      <c r="E29" s="182">
        <v>24000</v>
      </c>
      <c r="F29" s="186">
        <f t="shared" si="12"/>
        <v>1</v>
      </c>
      <c r="G29" s="182">
        <v>0</v>
      </c>
      <c r="H29" s="186">
        <f t="shared" si="13"/>
        <v>0</v>
      </c>
      <c r="I29" s="182">
        <v>0</v>
      </c>
      <c r="J29" s="186">
        <f t="shared" si="14"/>
        <v>0</v>
      </c>
      <c r="K29" s="2"/>
      <c r="L29" s="126"/>
      <c r="M29" s="127"/>
    </row>
    <row r="30" spans="1:13" ht="15" x14ac:dyDescent="0.25">
      <c r="A30" s="39" t="s">
        <v>5</v>
      </c>
      <c r="B30" s="169">
        <f>'General Info'!C30</f>
        <v>7448</v>
      </c>
      <c r="C30" s="44">
        <f t="shared" si="10"/>
        <v>23180</v>
      </c>
      <c r="D30" s="153">
        <f t="shared" si="11"/>
        <v>3.1122448979591835</v>
      </c>
      <c r="E30" s="181">
        <v>20780</v>
      </c>
      <c r="F30" s="154">
        <f t="shared" si="12"/>
        <v>0.89646246764452109</v>
      </c>
      <c r="G30" s="181">
        <v>2400</v>
      </c>
      <c r="H30" s="154">
        <f t="shared" si="13"/>
        <v>0.10353753235547886</v>
      </c>
      <c r="I30" s="181">
        <v>0</v>
      </c>
      <c r="J30" s="154">
        <f t="shared" si="14"/>
        <v>0</v>
      </c>
      <c r="L30" s="126"/>
      <c r="M30" s="127"/>
    </row>
    <row r="31" spans="1:13" ht="15" x14ac:dyDescent="0.25">
      <c r="A31" s="1" t="s">
        <v>22</v>
      </c>
      <c r="B31" s="4">
        <f>'General Info'!C31</f>
        <v>6860</v>
      </c>
      <c r="C31" s="19">
        <f t="shared" si="10"/>
        <v>8239</v>
      </c>
      <c r="D31" s="185">
        <f t="shared" si="11"/>
        <v>1.2010204081632654</v>
      </c>
      <c r="E31" s="182">
        <v>7888</v>
      </c>
      <c r="F31" s="186">
        <f t="shared" si="12"/>
        <v>0.9573977424444714</v>
      </c>
      <c r="G31" s="182">
        <v>0</v>
      </c>
      <c r="H31" s="186">
        <f t="shared" si="13"/>
        <v>0</v>
      </c>
      <c r="I31" s="182">
        <v>351</v>
      </c>
      <c r="J31" s="186">
        <f t="shared" si="14"/>
        <v>4.2602257555528586E-2</v>
      </c>
      <c r="K31" s="2"/>
      <c r="L31" s="126"/>
      <c r="M31" s="127"/>
    </row>
    <row r="32" spans="1:13" ht="15" x14ac:dyDescent="0.25">
      <c r="A32" s="39" t="s">
        <v>8</v>
      </c>
      <c r="B32" s="169">
        <f>'General Info'!C32</f>
        <v>4588</v>
      </c>
      <c r="C32" s="44">
        <f t="shared" si="10"/>
        <v>21000</v>
      </c>
      <c r="D32" s="153">
        <f t="shared" si="11"/>
        <v>4.5771578029642548</v>
      </c>
      <c r="E32" s="44">
        <v>19133</v>
      </c>
      <c r="F32" s="154">
        <f t="shared" si="12"/>
        <v>0.91109523809523807</v>
      </c>
      <c r="G32" s="259">
        <v>0</v>
      </c>
      <c r="H32" s="154">
        <f t="shared" si="13"/>
        <v>0</v>
      </c>
      <c r="I32" s="44">
        <v>1867</v>
      </c>
      <c r="J32" s="154">
        <f t="shared" si="14"/>
        <v>8.8904761904761903E-2</v>
      </c>
      <c r="K32" s="2"/>
      <c r="L32" s="126"/>
      <c r="M32" s="127"/>
    </row>
    <row r="33" spans="1:13" ht="15" x14ac:dyDescent="0.25">
      <c r="A33" s="1" t="s">
        <v>13</v>
      </c>
      <c r="B33" s="4">
        <f>'General Info'!C33</f>
        <v>2380</v>
      </c>
      <c r="C33" s="19">
        <f t="shared" si="10"/>
        <v>44465</v>
      </c>
      <c r="D33" s="185">
        <f t="shared" si="11"/>
        <v>18.682773109243698</v>
      </c>
      <c r="E33" s="182">
        <v>21360</v>
      </c>
      <c r="F33" s="186">
        <f t="shared" si="12"/>
        <v>0.48037782525581918</v>
      </c>
      <c r="G33" s="182">
        <v>12500</v>
      </c>
      <c r="H33" s="186">
        <f t="shared" si="13"/>
        <v>0.28111998200832117</v>
      </c>
      <c r="I33" s="182">
        <v>10605</v>
      </c>
      <c r="J33" s="186">
        <f t="shared" si="14"/>
        <v>0.23850219273585965</v>
      </c>
      <c r="K33" s="2"/>
      <c r="L33" s="126"/>
      <c r="M33" s="127"/>
    </row>
    <row r="34" spans="1:13" ht="15" x14ac:dyDescent="0.25">
      <c r="B34" s="4"/>
      <c r="C34" s="19"/>
      <c r="E34" s="19"/>
      <c r="F34" s="54"/>
      <c r="G34" s="19"/>
      <c r="H34" s="54"/>
      <c r="I34" s="19"/>
      <c r="J34" s="54"/>
      <c r="L34" s="126"/>
      <c r="M34" s="127"/>
    </row>
    <row r="35" spans="1:13" ht="15" x14ac:dyDescent="0.25">
      <c r="A35" s="6" t="s">
        <v>71</v>
      </c>
      <c r="B35" s="15">
        <f>'General Info'!C35</f>
        <v>581381</v>
      </c>
      <c r="C35" s="21">
        <f>SUM(C5:C33)</f>
        <v>2305737</v>
      </c>
      <c r="D35" s="65">
        <f>C35/B35</f>
        <v>3.9659655200290342</v>
      </c>
      <c r="E35" s="21">
        <f>SUM(E5:E33)</f>
        <v>1435570</v>
      </c>
      <c r="F35" s="58">
        <f>E35/C35</f>
        <v>0.62260786898072074</v>
      </c>
      <c r="G35" s="21">
        <f>SUM(G5:G33)</f>
        <v>607951</v>
      </c>
      <c r="H35" s="58">
        <f>G35/C35*100%</f>
        <v>0.26366883994141571</v>
      </c>
      <c r="I35" s="21">
        <f>SUM(I5:I33)</f>
        <v>262216</v>
      </c>
      <c r="J35" s="58">
        <f>I35/C35*100%</f>
        <v>0.11372329107786361</v>
      </c>
      <c r="L35" s="128"/>
      <c r="M35" s="128"/>
    </row>
    <row r="38" spans="1:13" x14ac:dyDescent="0.2">
      <c r="E38" s="54"/>
    </row>
  </sheetData>
  <mergeCells count="1">
    <mergeCell ref="A1:J1"/>
  </mergeCells>
  <pageMargins left="0.25" right="0.25" top="0.75" bottom="0.75" header="0.3" footer="0.3"/>
  <pageSetup paperSize="5" scale="9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36"/>
  <sheetViews>
    <sheetView zoomScale="89" zoomScaleNormal="89" workbookViewId="0">
      <selection activeCell="N25" sqref="N25"/>
    </sheetView>
  </sheetViews>
  <sheetFormatPr defaultRowHeight="12.75" x14ac:dyDescent="0.2"/>
  <cols>
    <col min="1" max="1" width="35.42578125" customWidth="1"/>
    <col min="2" max="2" width="11.7109375" customWidth="1"/>
    <col min="3" max="3" width="12" bestFit="1" customWidth="1"/>
    <col min="4" max="4" width="8.28515625" style="63" bestFit="1" customWidth="1"/>
    <col min="5" max="5" width="12" bestFit="1" customWidth="1"/>
    <col min="6" max="6" width="10" bestFit="1" customWidth="1"/>
    <col min="7" max="7" width="12" bestFit="1" customWidth="1"/>
    <col min="8" max="8" width="8" style="54" bestFit="1" customWidth="1"/>
    <col min="9" max="9" width="9.42578125" bestFit="1" customWidth="1"/>
    <col min="10" max="10" width="8.42578125" bestFit="1" customWidth="1"/>
    <col min="11" max="11" width="11" bestFit="1" customWidth="1"/>
    <col min="12" max="12" width="8" style="54" bestFit="1" customWidth="1"/>
  </cols>
  <sheetData>
    <row r="1" spans="1:12" s="26" customFormat="1" x14ac:dyDescent="0.2">
      <c r="A1" s="265" t="s">
        <v>522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2"/>
    </row>
    <row r="2" spans="1:12" s="26" customFormat="1" x14ac:dyDescent="0.2">
      <c r="A2" s="69"/>
      <c r="B2" s="70"/>
      <c r="C2" s="70"/>
      <c r="D2" s="80"/>
      <c r="E2" s="273" t="s">
        <v>165</v>
      </c>
      <c r="F2" s="274"/>
      <c r="G2" s="275"/>
      <c r="H2" s="78"/>
      <c r="I2" s="70"/>
      <c r="J2" s="70"/>
      <c r="K2" s="71"/>
      <c r="L2" s="79"/>
    </row>
    <row r="3" spans="1:12" s="26" customFormat="1" ht="51" x14ac:dyDescent="0.2">
      <c r="A3" s="72"/>
      <c r="B3" s="73" t="s">
        <v>135</v>
      </c>
      <c r="C3" s="74" t="s">
        <v>166</v>
      </c>
      <c r="D3" s="75" t="s">
        <v>167</v>
      </c>
      <c r="E3" s="76" t="s">
        <v>168</v>
      </c>
      <c r="F3" s="76" t="s">
        <v>169</v>
      </c>
      <c r="G3" s="76" t="s">
        <v>170</v>
      </c>
      <c r="H3" s="77" t="s">
        <v>175</v>
      </c>
      <c r="I3" s="74" t="s">
        <v>171</v>
      </c>
      <c r="J3" s="74" t="s">
        <v>172</v>
      </c>
      <c r="K3" s="74" t="s">
        <v>173</v>
      </c>
      <c r="L3" s="77" t="s">
        <v>174</v>
      </c>
    </row>
    <row r="4" spans="1:12" x14ac:dyDescent="0.2">
      <c r="C4" s="19"/>
      <c r="G4" s="19"/>
      <c r="I4" s="19"/>
      <c r="J4" s="19"/>
      <c r="K4" s="19"/>
    </row>
    <row r="5" spans="1:12" x14ac:dyDescent="0.2">
      <c r="A5" s="5" t="s">
        <v>70</v>
      </c>
      <c r="B5" s="14"/>
      <c r="C5" s="20"/>
      <c r="D5" s="62"/>
      <c r="E5" s="7"/>
      <c r="F5" s="7"/>
      <c r="G5" s="20"/>
      <c r="H5" s="57"/>
      <c r="I5" s="20"/>
      <c r="J5" s="20"/>
      <c r="K5" s="20"/>
      <c r="L5" s="57"/>
    </row>
    <row r="6" spans="1:12" ht="15" x14ac:dyDescent="0.2">
      <c r="A6" s="1" t="s">
        <v>10</v>
      </c>
      <c r="B6" s="4">
        <f>'General Info'!C5</f>
        <v>100723</v>
      </c>
      <c r="C6" s="19">
        <f>G6+I6+J6+K6</f>
        <v>9332008</v>
      </c>
      <c r="D6" s="63">
        <f>C6/B6</f>
        <v>92.650218917228443</v>
      </c>
      <c r="E6" s="3">
        <v>8431485</v>
      </c>
      <c r="F6" s="3">
        <v>0</v>
      </c>
      <c r="G6" s="19">
        <f>SUM(E6:F6)</f>
        <v>8431485</v>
      </c>
      <c r="H6" s="54">
        <f>G6/C6</f>
        <v>0.90350169009713666</v>
      </c>
      <c r="I6" s="19">
        <v>0</v>
      </c>
      <c r="J6" s="19">
        <v>5710</v>
      </c>
      <c r="K6" s="19">
        <v>894813</v>
      </c>
      <c r="L6" s="54">
        <f>K6/C6</f>
        <v>9.5886437302668409E-2</v>
      </c>
    </row>
    <row r="7" spans="1:12" ht="15" x14ac:dyDescent="0.2">
      <c r="A7" s="39" t="s">
        <v>12</v>
      </c>
      <c r="B7" s="169">
        <f>'General Info'!C6</f>
        <v>79601</v>
      </c>
      <c r="C7" s="44">
        <f>G7+I7+K7+J7</f>
        <v>3130172</v>
      </c>
      <c r="D7" s="64">
        <f>C7/B7</f>
        <v>39.323274833230741</v>
      </c>
      <c r="E7" s="43">
        <v>2839406</v>
      </c>
      <c r="F7" s="43">
        <v>46105</v>
      </c>
      <c r="G7" s="44">
        <f>SUM(E7:F7)</f>
        <v>2885511</v>
      </c>
      <c r="H7" s="56">
        <f>G7/C7</f>
        <v>0.92183784149880577</v>
      </c>
      <c r="I7" s="44">
        <v>0</v>
      </c>
      <c r="J7" s="44">
        <v>0</v>
      </c>
      <c r="K7" s="44">
        <v>244661</v>
      </c>
      <c r="L7" s="56">
        <f>K7/C7</f>
        <v>7.8162158501194179E-2</v>
      </c>
    </row>
    <row r="8" spans="1:12" ht="15" x14ac:dyDescent="0.2">
      <c r="A8" s="1"/>
      <c r="B8" s="4"/>
      <c r="C8" s="19"/>
      <c r="E8" s="3"/>
      <c r="F8" s="3"/>
      <c r="G8" s="19"/>
      <c r="I8" s="19"/>
      <c r="J8" s="19"/>
      <c r="K8" s="19"/>
    </row>
    <row r="9" spans="1:12" x14ac:dyDescent="0.2">
      <c r="A9" s="5" t="s">
        <v>67</v>
      </c>
      <c r="B9" s="10"/>
      <c r="C9" s="20"/>
      <c r="D9" s="62"/>
      <c r="E9" s="9"/>
      <c r="F9" s="9"/>
      <c r="G9" s="20"/>
      <c r="H9" s="57"/>
      <c r="I9" s="20"/>
      <c r="J9" s="20"/>
      <c r="K9" s="20"/>
      <c r="L9" s="57"/>
    </row>
    <row r="10" spans="1:12" ht="15" x14ac:dyDescent="0.2">
      <c r="A10" s="1" t="s">
        <v>2</v>
      </c>
      <c r="B10" s="4">
        <f>'General Info'!C9</f>
        <v>47058</v>
      </c>
      <c r="C10" s="19">
        <f>G10+I10+J10+K10</f>
        <v>3802392</v>
      </c>
      <c r="D10" s="63">
        <f>C10/B10</f>
        <v>80.80224403927069</v>
      </c>
      <c r="E10" s="3">
        <v>3748342</v>
      </c>
      <c r="F10" s="3">
        <v>0</v>
      </c>
      <c r="G10" s="19">
        <f t="shared" ref="G10:G15" si="0">SUM(E10:F10)</f>
        <v>3748342</v>
      </c>
      <c r="H10" s="54">
        <f>G10/C10</f>
        <v>0.9857852635919705</v>
      </c>
      <c r="I10" s="19">
        <v>0</v>
      </c>
      <c r="J10" s="19">
        <v>0</v>
      </c>
      <c r="K10" s="19">
        <v>54050</v>
      </c>
      <c r="L10" s="54">
        <f>SUM(K10/C10)</f>
        <v>1.4214736408029472E-2</v>
      </c>
    </row>
    <row r="11" spans="1:12" ht="15" x14ac:dyDescent="0.2">
      <c r="A11" s="39" t="s">
        <v>18</v>
      </c>
      <c r="B11" s="169">
        <f>'General Info'!C10</f>
        <v>41345</v>
      </c>
      <c r="C11" s="44">
        <f>G11+I11+K11+J11</f>
        <v>3184164</v>
      </c>
      <c r="D11" s="180">
        <f t="shared" ref="D11:D15" si="1">C11/B11</f>
        <v>77.014487846172457</v>
      </c>
      <c r="E11" s="150">
        <v>3076674</v>
      </c>
      <c r="F11" s="150">
        <v>29500</v>
      </c>
      <c r="G11" s="181">
        <f t="shared" si="0"/>
        <v>3106174</v>
      </c>
      <c r="H11" s="156">
        <f t="shared" ref="H11:H15" si="2">G11/C11</f>
        <v>0.97550691484483842</v>
      </c>
      <c r="I11" s="181">
        <v>0</v>
      </c>
      <c r="J11" s="181">
        <v>0</v>
      </c>
      <c r="K11" s="181">
        <v>77990</v>
      </c>
      <c r="L11" s="156">
        <f t="shared" ref="L11:L15" si="3">SUM(K11/C11)</f>
        <v>2.4493085155161607E-2</v>
      </c>
    </row>
    <row r="12" spans="1:12" ht="15" x14ac:dyDescent="0.2">
      <c r="A12" s="1" t="s">
        <v>6</v>
      </c>
      <c r="B12" s="4">
        <f>'General Info'!C11</f>
        <v>39472</v>
      </c>
      <c r="C12" s="19">
        <f>G12+I12+J12+K12</f>
        <v>1311945</v>
      </c>
      <c r="D12" s="63">
        <f t="shared" si="1"/>
        <v>33.237358127280096</v>
      </c>
      <c r="E12" s="3">
        <v>1121662</v>
      </c>
      <c r="F12" s="3">
        <v>0</v>
      </c>
      <c r="G12" s="19">
        <f t="shared" si="0"/>
        <v>1121662</v>
      </c>
      <c r="H12" s="54">
        <f t="shared" si="2"/>
        <v>0.85496114547484836</v>
      </c>
      <c r="I12" s="19">
        <v>0</v>
      </c>
      <c r="J12" s="19">
        <v>20000</v>
      </c>
      <c r="K12" s="19">
        <v>170283</v>
      </c>
      <c r="L12" s="54">
        <f t="shared" si="3"/>
        <v>0.12979431302379291</v>
      </c>
    </row>
    <row r="13" spans="1:12" ht="15" x14ac:dyDescent="0.2">
      <c r="A13" s="39" t="s">
        <v>0</v>
      </c>
      <c r="B13" s="169">
        <f>'General Info'!C12</f>
        <v>38031</v>
      </c>
      <c r="C13" s="44">
        <f>G13+I13+K13+J13</f>
        <v>1311858</v>
      </c>
      <c r="D13" s="180">
        <f t="shared" si="1"/>
        <v>34.494438747337696</v>
      </c>
      <c r="E13" s="150">
        <v>1165192</v>
      </c>
      <c r="F13" s="150">
        <v>14147</v>
      </c>
      <c r="G13" s="181">
        <f>SUM(E13:F13)</f>
        <v>1179339</v>
      </c>
      <c r="H13" s="156">
        <f t="shared" si="2"/>
        <v>0.89898373147093669</v>
      </c>
      <c r="I13" s="181">
        <v>0</v>
      </c>
      <c r="J13" s="181">
        <v>0</v>
      </c>
      <c r="K13" s="181">
        <v>132519</v>
      </c>
      <c r="L13" s="156">
        <f t="shared" si="3"/>
        <v>0.10101626852906335</v>
      </c>
    </row>
    <row r="14" spans="1:12" ht="15" x14ac:dyDescent="0.2">
      <c r="A14" s="1" t="s">
        <v>16</v>
      </c>
      <c r="B14" s="4">
        <f>'General Info'!C13</f>
        <v>32096</v>
      </c>
      <c r="C14" s="19">
        <f>G14+I14+J14+K14</f>
        <v>1514482</v>
      </c>
      <c r="D14" s="63">
        <f t="shared" si="1"/>
        <v>47.186004486540376</v>
      </c>
      <c r="E14" s="3">
        <v>1230000</v>
      </c>
      <c r="F14" s="3">
        <v>0</v>
      </c>
      <c r="G14" s="19">
        <f t="shared" si="0"/>
        <v>1230000</v>
      </c>
      <c r="H14" s="54">
        <f t="shared" si="2"/>
        <v>0.81215887676446463</v>
      </c>
      <c r="I14" s="19">
        <v>0</v>
      </c>
      <c r="J14" s="19">
        <v>0</v>
      </c>
      <c r="K14" s="19">
        <v>284482</v>
      </c>
      <c r="L14" s="54">
        <f t="shared" si="3"/>
        <v>0.18784112323553531</v>
      </c>
    </row>
    <row r="15" spans="1:12" ht="15" x14ac:dyDescent="0.2">
      <c r="A15" s="39" t="s">
        <v>14</v>
      </c>
      <c r="B15" s="169">
        <f>'General Info'!C14</f>
        <v>30518</v>
      </c>
      <c r="C15" s="44">
        <f>G15+I15+K15+J15</f>
        <v>1835833</v>
      </c>
      <c r="D15" s="180">
        <f t="shared" si="1"/>
        <v>60.155744150992859</v>
      </c>
      <c r="E15" s="150">
        <v>1809578</v>
      </c>
      <c r="F15" s="150">
        <v>0</v>
      </c>
      <c r="G15" s="181">
        <f t="shared" si="0"/>
        <v>1809578</v>
      </c>
      <c r="H15" s="156">
        <f t="shared" si="2"/>
        <v>0.98569859023124651</v>
      </c>
      <c r="I15" s="181">
        <v>0</v>
      </c>
      <c r="J15" s="181">
        <v>0</v>
      </c>
      <c r="K15" s="181">
        <v>26255</v>
      </c>
      <c r="L15" s="156">
        <f t="shared" si="3"/>
        <v>1.4301409768753475E-2</v>
      </c>
    </row>
    <row r="16" spans="1:12" ht="15" x14ac:dyDescent="0.2">
      <c r="A16" s="1"/>
      <c r="B16" s="4"/>
      <c r="C16" s="19"/>
      <c r="E16" s="3"/>
      <c r="F16" s="3"/>
      <c r="G16" s="19"/>
      <c r="I16" s="19"/>
      <c r="J16" s="19"/>
      <c r="K16" s="19"/>
    </row>
    <row r="17" spans="1:12" x14ac:dyDescent="0.2">
      <c r="A17" s="5" t="s">
        <v>68</v>
      </c>
      <c r="B17" s="10"/>
      <c r="C17" s="20"/>
      <c r="D17" s="62"/>
      <c r="E17" s="9"/>
      <c r="F17" s="9"/>
      <c r="G17" s="20"/>
      <c r="H17" s="57"/>
      <c r="I17" s="20"/>
      <c r="J17" s="20"/>
      <c r="K17" s="20"/>
      <c r="L17" s="57"/>
    </row>
    <row r="18" spans="1:12" ht="15" x14ac:dyDescent="0.2">
      <c r="A18" s="1" t="s">
        <v>19</v>
      </c>
      <c r="B18" s="4">
        <f>'General Info'!C17</f>
        <v>23287</v>
      </c>
      <c r="C18" s="19">
        <f>G18+I18+J18+K18</f>
        <v>3923920</v>
      </c>
      <c r="D18" s="63">
        <f>C18/B18</f>
        <v>168.50259801606046</v>
      </c>
      <c r="E18" s="3">
        <v>3527312</v>
      </c>
      <c r="F18" s="3">
        <v>0</v>
      </c>
      <c r="G18" s="19">
        <f t="shared" ref="G18:G24" si="4">SUM(E18:F18)</f>
        <v>3527312</v>
      </c>
      <c r="H18" s="54">
        <f>G18/C18</f>
        <v>0.89892556423168668</v>
      </c>
      <c r="I18" s="19">
        <v>0</v>
      </c>
      <c r="J18" s="19">
        <v>0</v>
      </c>
      <c r="K18" s="19">
        <v>396608</v>
      </c>
      <c r="L18" s="54">
        <f t="shared" ref="L18:L24" si="5">SUM(K18/C18)</f>
        <v>0.10107443576831332</v>
      </c>
    </row>
    <row r="19" spans="1:12" ht="15" x14ac:dyDescent="0.2">
      <c r="A19" s="39" t="s">
        <v>20</v>
      </c>
      <c r="B19" s="169">
        <f>'General Info'!C18</f>
        <v>20712</v>
      </c>
      <c r="C19" s="44">
        <f>G19+I19+K19+J19</f>
        <v>653761</v>
      </c>
      <c r="D19" s="180">
        <f t="shared" ref="D19:D24" si="6">C19/B19</f>
        <v>31.564358825801467</v>
      </c>
      <c r="E19" s="150">
        <v>609593</v>
      </c>
      <c r="F19" s="150">
        <v>0</v>
      </c>
      <c r="G19" s="181">
        <f t="shared" si="4"/>
        <v>609593</v>
      </c>
      <c r="H19" s="156">
        <f t="shared" ref="H19:H24" si="7">G19/C19</f>
        <v>0.93244014249855833</v>
      </c>
      <c r="I19" s="44">
        <v>0</v>
      </c>
      <c r="J19" s="44">
        <v>0</v>
      </c>
      <c r="K19" s="44">
        <v>44168</v>
      </c>
      <c r="L19" s="56">
        <f t="shared" si="5"/>
        <v>6.7559857501441653E-2</v>
      </c>
    </row>
    <row r="20" spans="1:12" ht="15" x14ac:dyDescent="0.2">
      <c r="A20" s="1" t="s">
        <v>11</v>
      </c>
      <c r="B20" s="4">
        <f>'General Info'!C19</f>
        <v>20660</v>
      </c>
      <c r="C20" s="19">
        <f>G20+I20+J20+K20</f>
        <v>1650355</v>
      </c>
      <c r="D20" s="63">
        <f t="shared" si="6"/>
        <v>79.881655372700877</v>
      </c>
      <c r="E20" s="3">
        <v>1609133</v>
      </c>
      <c r="F20" s="3">
        <v>0</v>
      </c>
      <c r="G20" s="19">
        <f t="shared" si="4"/>
        <v>1609133</v>
      </c>
      <c r="H20" s="54">
        <f t="shared" si="7"/>
        <v>0.97502234367757246</v>
      </c>
      <c r="I20" s="19">
        <v>0</v>
      </c>
      <c r="J20" s="19">
        <v>0</v>
      </c>
      <c r="K20" s="19">
        <v>41222</v>
      </c>
      <c r="L20" s="54">
        <f t="shared" si="5"/>
        <v>2.4977656322427599E-2</v>
      </c>
    </row>
    <row r="21" spans="1:12" ht="15" x14ac:dyDescent="0.2">
      <c r="A21" s="39" t="s">
        <v>3</v>
      </c>
      <c r="B21" s="169">
        <f>'General Info'!C20</f>
        <v>14542</v>
      </c>
      <c r="C21" s="44">
        <f>G21+I21+K21+J21</f>
        <v>576324</v>
      </c>
      <c r="D21" s="180">
        <f t="shared" si="6"/>
        <v>39.631687525787378</v>
      </c>
      <c r="E21" s="150">
        <v>489174</v>
      </c>
      <c r="F21" s="150">
        <v>0</v>
      </c>
      <c r="G21" s="181">
        <f t="shared" si="4"/>
        <v>489174</v>
      </c>
      <c r="H21" s="156">
        <f t="shared" si="7"/>
        <v>0.8487829762425303</v>
      </c>
      <c r="I21" s="44">
        <v>0</v>
      </c>
      <c r="J21" s="44">
        <v>0</v>
      </c>
      <c r="K21" s="44">
        <v>87150</v>
      </c>
      <c r="L21" s="56">
        <f t="shared" si="5"/>
        <v>0.15121702375746976</v>
      </c>
    </row>
    <row r="22" spans="1:12" ht="15" x14ac:dyDescent="0.2">
      <c r="A22" s="1" t="s">
        <v>4</v>
      </c>
      <c r="B22" s="4">
        <f>'General Info'!C21</f>
        <v>13786</v>
      </c>
      <c r="C22" s="19">
        <f>G22+I22+J22+K22</f>
        <v>2166601</v>
      </c>
      <c r="D22" s="63">
        <f t="shared" si="6"/>
        <v>157.15950964746844</v>
      </c>
      <c r="E22" s="3">
        <v>1900000</v>
      </c>
      <c r="F22" s="3">
        <v>0</v>
      </c>
      <c r="G22" s="19">
        <f t="shared" si="4"/>
        <v>1900000</v>
      </c>
      <c r="H22" s="54">
        <f t="shared" si="7"/>
        <v>0.87694965524339741</v>
      </c>
      <c r="I22" s="19">
        <v>0</v>
      </c>
      <c r="J22" s="19">
        <v>0</v>
      </c>
      <c r="K22" s="19">
        <v>266601</v>
      </c>
      <c r="L22" s="54">
        <f t="shared" si="5"/>
        <v>0.12305034475660262</v>
      </c>
    </row>
    <row r="23" spans="1:12" ht="15" x14ac:dyDescent="0.2">
      <c r="A23" s="39" t="s">
        <v>7</v>
      </c>
      <c r="B23" s="169">
        <f>'General Info'!C22</f>
        <v>12562</v>
      </c>
      <c r="C23" s="44">
        <f>G23+I23+K23</f>
        <v>301848</v>
      </c>
      <c r="D23" s="180">
        <f t="shared" si="6"/>
        <v>24.028657857029135</v>
      </c>
      <c r="E23" s="150">
        <v>250002</v>
      </c>
      <c r="F23" s="150">
        <v>0</v>
      </c>
      <c r="G23" s="181">
        <f t="shared" si="4"/>
        <v>250002</v>
      </c>
      <c r="H23" s="156">
        <f t="shared" si="7"/>
        <v>0.82823805358988634</v>
      </c>
      <c r="I23" s="44">
        <v>0</v>
      </c>
      <c r="J23" s="44">
        <v>0</v>
      </c>
      <c r="K23" s="44">
        <v>51846</v>
      </c>
      <c r="L23" s="56">
        <f t="shared" si="5"/>
        <v>0.17176194641011369</v>
      </c>
    </row>
    <row r="24" spans="1:12" ht="15" x14ac:dyDescent="0.2">
      <c r="A24" s="1" t="s">
        <v>1</v>
      </c>
      <c r="B24" s="4">
        <f>'General Info'!C23</f>
        <v>11855</v>
      </c>
      <c r="C24" s="19">
        <f>G24+I24+J24+K24</f>
        <v>372015</v>
      </c>
      <c r="D24" s="63">
        <f t="shared" si="6"/>
        <v>31.380430198228595</v>
      </c>
      <c r="E24" s="3">
        <v>362775</v>
      </c>
      <c r="F24" s="3">
        <v>0</v>
      </c>
      <c r="G24" s="19">
        <f t="shared" si="4"/>
        <v>362775</v>
      </c>
      <c r="H24" s="54">
        <f t="shared" si="7"/>
        <v>0.97516229184307079</v>
      </c>
      <c r="I24" s="19">
        <v>0</v>
      </c>
      <c r="J24" s="19">
        <v>0</v>
      </c>
      <c r="K24" s="19">
        <v>9240</v>
      </c>
      <c r="L24" s="54">
        <f t="shared" si="5"/>
        <v>2.4837708156929157E-2</v>
      </c>
    </row>
    <row r="25" spans="1:12" ht="15" x14ac:dyDescent="0.2">
      <c r="A25" s="176"/>
      <c r="B25" s="4"/>
      <c r="C25" s="182"/>
      <c r="D25" s="183"/>
      <c r="E25" s="187"/>
      <c r="F25" s="187"/>
      <c r="G25" s="182"/>
      <c r="H25" s="178"/>
      <c r="I25" s="182"/>
      <c r="J25" s="182"/>
      <c r="K25" s="182"/>
      <c r="L25" s="178"/>
    </row>
    <row r="26" spans="1:12" ht="15" x14ac:dyDescent="0.2">
      <c r="A26" s="151" t="s">
        <v>69</v>
      </c>
      <c r="B26" s="10"/>
      <c r="C26" s="20"/>
      <c r="D26" s="62"/>
      <c r="E26" s="9"/>
      <c r="F26" s="9"/>
      <c r="G26" s="20"/>
      <c r="H26" s="57"/>
      <c r="I26" s="20"/>
      <c r="J26" s="20"/>
      <c r="K26" s="20"/>
      <c r="L26" s="57"/>
    </row>
    <row r="27" spans="1:12" ht="15" x14ac:dyDescent="0.25">
      <c r="A27" s="184" t="s">
        <v>17</v>
      </c>
      <c r="B27" s="169">
        <f>'General Info'!C26</f>
        <v>8763</v>
      </c>
      <c r="C27" s="44">
        <f>G27+I27+K27</f>
        <v>1267963</v>
      </c>
      <c r="D27" s="153">
        <f>SUM(C27/B27)</f>
        <v>144.69508159306173</v>
      </c>
      <c r="E27" s="188">
        <v>1252101</v>
      </c>
      <c r="F27" s="188">
        <v>0</v>
      </c>
      <c r="G27" s="152">
        <f t="shared" ref="G27:G34" si="8">SUM(E27:F27)</f>
        <v>1252101</v>
      </c>
      <c r="H27" s="154">
        <f>G27/C27</f>
        <v>0.98749017124316718</v>
      </c>
      <c r="I27" s="152">
        <v>0</v>
      </c>
      <c r="J27" s="152">
        <v>0</v>
      </c>
      <c r="K27" s="152">
        <v>15862</v>
      </c>
      <c r="L27" s="154">
        <f t="shared" ref="L27:L34" si="9">SUM(K27/C27)</f>
        <v>1.2509828756832811E-2</v>
      </c>
    </row>
    <row r="28" spans="1:12" ht="15" x14ac:dyDescent="0.2">
      <c r="A28" s="138" t="s">
        <v>15</v>
      </c>
      <c r="B28" s="4">
        <f>'General Info'!C27</f>
        <v>8645</v>
      </c>
      <c r="C28" s="19">
        <f>G28+I28+J28+K28</f>
        <v>362295</v>
      </c>
      <c r="D28" s="185">
        <f t="shared" ref="D28:D34" si="10">SUM(C28/B28)</f>
        <v>41.908039329091963</v>
      </c>
      <c r="E28" s="189">
        <v>353419</v>
      </c>
      <c r="F28" s="189">
        <v>0</v>
      </c>
      <c r="G28" s="190">
        <f t="shared" si="8"/>
        <v>353419</v>
      </c>
      <c r="H28" s="186">
        <f t="shared" ref="H28:H34" si="11">G28/C28</f>
        <v>0.97550062794131853</v>
      </c>
      <c r="I28" s="139">
        <v>0</v>
      </c>
      <c r="J28" s="139">
        <v>0</v>
      </c>
      <c r="K28" s="139">
        <v>8876</v>
      </c>
      <c r="L28" s="141">
        <f t="shared" si="9"/>
        <v>2.4499372058681461E-2</v>
      </c>
    </row>
    <row r="29" spans="1:12" ht="15" x14ac:dyDescent="0.2">
      <c r="A29" s="39" t="s">
        <v>9</v>
      </c>
      <c r="B29" s="169">
        <f>'General Info'!C28</f>
        <v>8730</v>
      </c>
      <c r="C29" s="44">
        <f>G29+I29+K29</f>
        <v>763343</v>
      </c>
      <c r="D29" s="153">
        <f t="shared" si="10"/>
        <v>87.439060710194724</v>
      </c>
      <c r="E29" s="43">
        <v>740651</v>
      </c>
      <c r="F29" s="43">
        <v>0</v>
      </c>
      <c r="G29" s="44">
        <f t="shared" si="8"/>
        <v>740651</v>
      </c>
      <c r="H29" s="154">
        <f t="shared" si="11"/>
        <v>0.9702728655401307</v>
      </c>
      <c r="I29" s="44">
        <v>4000</v>
      </c>
      <c r="J29" s="44">
        <v>0</v>
      </c>
      <c r="K29" s="44">
        <v>18692</v>
      </c>
      <c r="L29" s="56">
        <f t="shared" si="9"/>
        <v>2.4487026146830456E-2</v>
      </c>
    </row>
    <row r="30" spans="1:12" ht="15" x14ac:dyDescent="0.2">
      <c r="A30" s="1" t="s">
        <v>21</v>
      </c>
      <c r="B30" s="4">
        <f>'General Info'!C29</f>
        <v>7719</v>
      </c>
      <c r="C30" s="19">
        <f>G30+I30+J30+K30</f>
        <v>415481</v>
      </c>
      <c r="D30" s="185">
        <f t="shared" si="10"/>
        <v>53.825754631428943</v>
      </c>
      <c r="E30" s="3">
        <v>390517</v>
      </c>
      <c r="F30" s="3">
        <v>0</v>
      </c>
      <c r="G30" s="19">
        <f t="shared" si="8"/>
        <v>390517</v>
      </c>
      <c r="H30" s="186">
        <f t="shared" si="11"/>
        <v>0.93991542332862388</v>
      </c>
      <c r="I30" s="19">
        <v>0</v>
      </c>
      <c r="J30" s="19">
        <v>0</v>
      </c>
      <c r="K30" s="19">
        <v>24964</v>
      </c>
      <c r="L30" s="54">
        <f t="shared" si="9"/>
        <v>6.0084576671376067E-2</v>
      </c>
    </row>
    <row r="31" spans="1:12" ht="15" x14ac:dyDescent="0.2">
      <c r="A31" s="39" t="s">
        <v>5</v>
      </c>
      <c r="B31" s="169">
        <f>'General Info'!C30</f>
        <v>7448</v>
      </c>
      <c r="C31" s="44">
        <f>G31+I31+K31</f>
        <v>731471</v>
      </c>
      <c r="D31" s="153">
        <f t="shared" si="10"/>
        <v>98.210392051557463</v>
      </c>
      <c r="E31" s="43">
        <v>723270</v>
      </c>
      <c r="F31" s="43">
        <v>0</v>
      </c>
      <c r="G31" s="44">
        <f t="shared" si="8"/>
        <v>723270</v>
      </c>
      <c r="H31" s="154">
        <f t="shared" si="11"/>
        <v>0.98878834567604179</v>
      </c>
      <c r="I31" s="44">
        <v>0</v>
      </c>
      <c r="J31" s="44">
        <v>0</v>
      </c>
      <c r="K31" s="44">
        <v>8201</v>
      </c>
      <c r="L31" s="56">
        <f t="shared" si="9"/>
        <v>1.121165432395816E-2</v>
      </c>
    </row>
    <row r="32" spans="1:12" ht="15" x14ac:dyDescent="0.2">
      <c r="A32" s="1" t="s">
        <v>22</v>
      </c>
      <c r="B32" s="4">
        <f>'General Info'!C31</f>
        <v>6860</v>
      </c>
      <c r="C32" s="19">
        <f>G32+I32+J32+K32</f>
        <v>295323</v>
      </c>
      <c r="D32" s="185">
        <f t="shared" si="10"/>
        <v>43.05</v>
      </c>
      <c r="E32" s="3">
        <v>291958</v>
      </c>
      <c r="F32" s="3">
        <v>0</v>
      </c>
      <c r="G32" s="19">
        <f t="shared" si="8"/>
        <v>291958</v>
      </c>
      <c r="H32" s="186">
        <f t="shared" si="11"/>
        <v>0.98860569613609506</v>
      </c>
      <c r="I32" s="19">
        <v>0</v>
      </c>
      <c r="J32" s="19">
        <v>0</v>
      </c>
      <c r="K32" s="19">
        <v>3365</v>
      </c>
      <c r="L32" s="54">
        <f t="shared" si="9"/>
        <v>1.1394303863904946E-2</v>
      </c>
    </row>
    <row r="33" spans="1:12" ht="15" x14ac:dyDescent="0.2">
      <c r="A33" s="39" t="s">
        <v>8</v>
      </c>
      <c r="B33" s="169">
        <f>'General Info'!C32</f>
        <v>4588</v>
      </c>
      <c r="C33" s="44">
        <f>G33+I33+K33</f>
        <v>211788</v>
      </c>
      <c r="D33" s="153">
        <f t="shared" si="10"/>
        <v>46.161290322580648</v>
      </c>
      <c r="E33" s="43">
        <v>211250</v>
      </c>
      <c r="F33" s="43">
        <v>0</v>
      </c>
      <c r="G33" s="44">
        <f t="shared" si="8"/>
        <v>211250</v>
      </c>
      <c r="H33" s="154">
        <f t="shared" si="11"/>
        <v>0.99745972387481818</v>
      </c>
      <c r="I33" s="44">
        <v>0</v>
      </c>
      <c r="J33" s="44">
        <v>0</v>
      </c>
      <c r="K33" s="44">
        <v>538</v>
      </c>
      <c r="L33" s="56">
        <f t="shared" si="9"/>
        <v>2.5402761251817857E-3</v>
      </c>
    </row>
    <row r="34" spans="1:12" ht="15" x14ac:dyDescent="0.2">
      <c r="A34" s="1" t="s">
        <v>13</v>
      </c>
      <c r="B34" s="4">
        <f>'General Info'!C33</f>
        <v>2380</v>
      </c>
      <c r="C34" s="19">
        <f>G34+I34+J34+K34</f>
        <v>305362</v>
      </c>
      <c r="D34" s="185">
        <f t="shared" si="10"/>
        <v>128.30336134453782</v>
      </c>
      <c r="E34" s="3">
        <v>174584</v>
      </c>
      <c r="F34" s="3">
        <v>8989</v>
      </c>
      <c r="G34" s="19">
        <f t="shared" si="8"/>
        <v>183573</v>
      </c>
      <c r="H34" s="186">
        <f t="shared" si="11"/>
        <v>0.60116517444868711</v>
      </c>
      <c r="I34" s="19">
        <v>0</v>
      </c>
      <c r="J34" s="19">
        <v>0</v>
      </c>
      <c r="K34" s="19">
        <v>121789</v>
      </c>
      <c r="L34" s="54">
        <f t="shared" si="9"/>
        <v>0.39883482555131289</v>
      </c>
    </row>
    <row r="35" spans="1:12" x14ac:dyDescent="0.2">
      <c r="B35" s="256"/>
      <c r="C35" s="290"/>
      <c r="D35" s="291"/>
      <c r="E35" s="292"/>
      <c r="F35" s="292"/>
      <c r="G35" s="290"/>
      <c r="H35" s="293"/>
      <c r="I35" s="290"/>
      <c r="J35" s="290"/>
      <c r="K35" s="290"/>
      <c r="L35" s="293"/>
    </row>
    <row r="36" spans="1:12" ht="15" x14ac:dyDescent="0.25">
      <c r="A36" s="6" t="s">
        <v>71</v>
      </c>
      <c r="B36" s="15">
        <f>'General Info'!C35</f>
        <v>581381</v>
      </c>
      <c r="C36" s="21">
        <f>SUM(C6:C34)</f>
        <v>39420704</v>
      </c>
      <c r="D36" s="65">
        <f>AVERAGE(D6:D34)</f>
        <v>71.330680372764476</v>
      </c>
      <c r="E36" s="21">
        <f>SUM(E6:E34)</f>
        <v>36308078</v>
      </c>
      <c r="F36" s="21">
        <f>SUM(F6:F34)</f>
        <v>98741</v>
      </c>
      <c r="G36" s="21">
        <f>SUM(G6:G34)</f>
        <v>36406819</v>
      </c>
      <c r="H36" s="58">
        <f>SUM(G36/C36)</f>
        <v>0.92354563226471043</v>
      </c>
      <c r="I36" s="21">
        <f>SUM(I6:I34)</f>
        <v>4000</v>
      </c>
      <c r="J36" s="21">
        <f>SUM(J6:J34)</f>
        <v>25710</v>
      </c>
      <c r="K36" s="21">
        <f>SUM(K6:K34)</f>
        <v>2984175</v>
      </c>
      <c r="L36" s="58">
        <f>SUM(K36/C36)</f>
        <v>7.5700702859086436E-2</v>
      </c>
    </row>
  </sheetData>
  <mergeCells count="2">
    <mergeCell ref="A1:L1"/>
    <mergeCell ref="E2:G2"/>
  </mergeCells>
  <pageMargins left="0.25" right="0.25" top="0.75" bottom="0.75" header="0.3" footer="0.3"/>
  <pageSetup paperSize="5" scale="92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H35"/>
  <sheetViews>
    <sheetView workbookViewId="0">
      <selection activeCell="K19" sqref="K19"/>
    </sheetView>
  </sheetViews>
  <sheetFormatPr defaultRowHeight="12.75" x14ac:dyDescent="0.2"/>
  <cols>
    <col min="1" max="1" width="35.7109375" customWidth="1"/>
    <col min="2" max="2" width="10.42578125" customWidth="1"/>
    <col min="3" max="3" width="11.140625" bestFit="1" customWidth="1"/>
    <col min="4" max="4" width="10.140625" bestFit="1" customWidth="1"/>
    <col min="5" max="6" width="8.42578125" bestFit="1" customWidth="1"/>
    <col min="7" max="7" width="11.140625" bestFit="1" customWidth="1"/>
    <col min="8" max="8" width="12.5703125" customWidth="1"/>
  </cols>
  <sheetData>
    <row r="1" spans="1:8" s="26" customFormat="1" x14ac:dyDescent="0.2">
      <c r="A1" s="265" t="s">
        <v>523</v>
      </c>
      <c r="B1" s="268"/>
      <c r="C1" s="268"/>
      <c r="D1" s="268"/>
      <c r="E1" s="268"/>
      <c r="F1" s="268"/>
      <c r="G1" s="268"/>
      <c r="H1" s="276"/>
    </row>
    <row r="2" spans="1:8" s="26" customFormat="1" ht="41.25" customHeight="1" x14ac:dyDescent="0.2">
      <c r="A2" s="81"/>
      <c r="B2" s="34" t="s">
        <v>135</v>
      </c>
      <c r="C2" s="60" t="s">
        <v>176</v>
      </c>
      <c r="D2" s="60" t="s">
        <v>177</v>
      </c>
      <c r="E2" s="60" t="s">
        <v>178</v>
      </c>
      <c r="F2" s="60" t="s">
        <v>179</v>
      </c>
      <c r="G2" s="60" t="s">
        <v>180</v>
      </c>
      <c r="H2" s="60" t="s">
        <v>181</v>
      </c>
    </row>
    <row r="3" spans="1:8" x14ac:dyDescent="0.2">
      <c r="C3" s="19"/>
      <c r="D3" s="19"/>
      <c r="E3" s="19"/>
      <c r="F3" s="19"/>
      <c r="G3" s="19"/>
      <c r="H3" s="19"/>
    </row>
    <row r="4" spans="1:8" x14ac:dyDescent="0.2">
      <c r="A4" s="5" t="s">
        <v>70</v>
      </c>
      <c r="B4" s="14"/>
      <c r="C4" s="20"/>
      <c r="D4" s="20"/>
      <c r="E4" s="20"/>
      <c r="F4" s="20"/>
      <c r="G4" s="20"/>
      <c r="H4" s="20"/>
    </row>
    <row r="5" spans="1:8" ht="15" x14ac:dyDescent="0.2">
      <c r="A5" s="1" t="s">
        <v>10</v>
      </c>
      <c r="B5" s="4">
        <f>'General Info'!C5</f>
        <v>100723</v>
      </c>
      <c r="C5" s="19">
        <v>0</v>
      </c>
      <c r="D5" s="19">
        <v>0</v>
      </c>
      <c r="E5" s="19">
        <v>0</v>
      </c>
      <c r="F5" s="19">
        <v>0</v>
      </c>
      <c r="G5" s="19">
        <f>SUM(C5:F5)</f>
        <v>0</v>
      </c>
      <c r="H5" s="19">
        <v>0</v>
      </c>
    </row>
    <row r="6" spans="1:8" ht="15" x14ac:dyDescent="0.2">
      <c r="A6" s="39" t="s">
        <v>12</v>
      </c>
      <c r="B6" s="169">
        <f>'General Info'!C6</f>
        <v>79601</v>
      </c>
      <c r="C6" s="44">
        <v>55300</v>
      </c>
      <c r="D6" s="44">
        <v>0</v>
      </c>
      <c r="E6" s="44">
        <v>0</v>
      </c>
      <c r="F6" s="44">
        <v>0</v>
      </c>
      <c r="G6" s="44">
        <v>55300</v>
      </c>
      <c r="H6" s="44">
        <v>52044</v>
      </c>
    </row>
    <row r="7" spans="1:8" ht="15" x14ac:dyDescent="0.2">
      <c r="A7" s="1"/>
      <c r="B7" s="4"/>
      <c r="C7" s="19"/>
      <c r="D7" s="19"/>
      <c r="E7" s="19"/>
      <c r="F7" s="19"/>
      <c r="G7" s="19"/>
      <c r="H7" s="19"/>
    </row>
    <row r="8" spans="1:8" x14ac:dyDescent="0.2">
      <c r="A8" s="5" t="s">
        <v>67</v>
      </c>
      <c r="B8" s="10"/>
      <c r="C8" s="20"/>
      <c r="D8" s="20"/>
      <c r="E8" s="20"/>
      <c r="F8" s="20"/>
      <c r="G8" s="20"/>
      <c r="H8" s="20"/>
    </row>
    <row r="9" spans="1:8" ht="15" x14ac:dyDescent="0.2">
      <c r="A9" s="1" t="s">
        <v>2</v>
      </c>
      <c r="B9" s="4">
        <f>'General Info'!C9</f>
        <v>47058</v>
      </c>
      <c r="C9" s="19">
        <v>0</v>
      </c>
      <c r="D9" s="19">
        <v>0</v>
      </c>
      <c r="E9" s="19">
        <v>0</v>
      </c>
      <c r="F9" s="19">
        <v>0</v>
      </c>
      <c r="G9" s="19">
        <f t="shared" ref="G9:G14" si="0">SUM(C9:F9)</f>
        <v>0</v>
      </c>
      <c r="H9" s="19">
        <v>0</v>
      </c>
    </row>
    <row r="10" spans="1:8" ht="15" x14ac:dyDescent="0.2">
      <c r="A10" s="39" t="s">
        <v>18</v>
      </c>
      <c r="B10" s="169">
        <f>'General Info'!C10</f>
        <v>41345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191539</v>
      </c>
    </row>
    <row r="11" spans="1:8" ht="15" x14ac:dyDescent="0.2">
      <c r="A11" s="1" t="s">
        <v>6</v>
      </c>
      <c r="B11" s="4">
        <f>'General Info'!C11</f>
        <v>39472</v>
      </c>
      <c r="C11" s="19">
        <v>0</v>
      </c>
      <c r="D11" s="19">
        <v>0</v>
      </c>
      <c r="E11" s="19">
        <v>0</v>
      </c>
      <c r="F11" s="19">
        <v>0</v>
      </c>
      <c r="G11" s="19">
        <f t="shared" si="0"/>
        <v>0</v>
      </c>
      <c r="H11" s="19">
        <v>0</v>
      </c>
    </row>
    <row r="12" spans="1:8" ht="15" x14ac:dyDescent="0.2">
      <c r="A12" s="39" t="s">
        <v>0</v>
      </c>
      <c r="B12" s="169">
        <f>'General Info'!C12</f>
        <v>38031</v>
      </c>
      <c r="C12" s="44">
        <v>0</v>
      </c>
      <c r="D12" s="44">
        <v>0</v>
      </c>
      <c r="E12" s="44">
        <v>0</v>
      </c>
      <c r="F12" s="44">
        <v>0</v>
      </c>
      <c r="G12" s="44">
        <f t="shared" si="0"/>
        <v>0</v>
      </c>
      <c r="H12" s="44">
        <v>0</v>
      </c>
    </row>
    <row r="13" spans="1:8" ht="15" x14ac:dyDescent="0.2">
      <c r="A13" s="1" t="s">
        <v>16</v>
      </c>
      <c r="B13" s="4">
        <f>'General Info'!C13</f>
        <v>32096</v>
      </c>
      <c r="C13" s="19">
        <v>15000</v>
      </c>
      <c r="D13" s="19">
        <v>0</v>
      </c>
      <c r="E13" s="19">
        <v>0</v>
      </c>
      <c r="F13" s="19">
        <v>0</v>
      </c>
      <c r="G13" s="19">
        <f t="shared" si="0"/>
        <v>15000</v>
      </c>
      <c r="H13" s="19">
        <v>15000</v>
      </c>
    </row>
    <row r="14" spans="1:8" ht="15" x14ac:dyDescent="0.2">
      <c r="A14" s="39" t="s">
        <v>14</v>
      </c>
      <c r="B14" s="169">
        <f>'General Info'!C14</f>
        <v>30518</v>
      </c>
      <c r="C14" s="44">
        <v>0</v>
      </c>
      <c r="D14" s="44">
        <v>0</v>
      </c>
      <c r="E14" s="44">
        <v>0</v>
      </c>
      <c r="F14" s="44">
        <v>0</v>
      </c>
      <c r="G14" s="44">
        <f t="shared" si="0"/>
        <v>0</v>
      </c>
      <c r="H14" s="44">
        <v>0</v>
      </c>
    </row>
    <row r="15" spans="1:8" ht="15" x14ac:dyDescent="0.2">
      <c r="A15" s="1"/>
      <c r="B15" s="4"/>
      <c r="C15" s="19"/>
      <c r="D15" s="19"/>
      <c r="E15" s="19"/>
      <c r="F15" s="19"/>
      <c r="G15" s="19"/>
      <c r="H15" s="19"/>
    </row>
    <row r="16" spans="1:8" x14ac:dyDescent="0.2">
      <c r="A16" s="5" t="s">
        <v>68</v>
      </c>
      <c r="B16" s="10"/>
      <c r="C16" s="20"/>
      <c r="D16" s="20"/>
      <c r="E16" s="20"/>
      <c r="F16" s="20"/>
      <c r="G16" s="20"/>
      <c r="H16" s="20"/>
    </row>
    <row r="17" spans="1:8" ht="15" x14ac:dyDescent="0.2">
      <c r="A17" s="1" t="s">
        <v>19</v>
      </c>
      <c r="B17" s="4">
        <f>'General Info'!C17</f>
        <v>23287</v>
      </c>
      <c r="C17" s="19">
        <v>150000</v>
      </c>
      <c r="D17" s="19">
        <v>0</v>
      </c>
      <c r="E17" s="19">
        <v>0</v>
      </c>
      <c r="F17" s="19">
        <v>0</v>
      </c>
      <c r="G17" s="19">
        <f t="shared" ref="G17:G23" si="1">SUM(C17:F17)</f>
        <v>150000</v>
      </c>
      <c r="H17" s="19">
        <v>41990</v>
      </c>
    </row>
    <row r="18" spans="1:8" ht="15" x14ac:dyDescent="0.2">
      <c r="A18" s="39" t="s">
        <v>20</v>
      </c>
      <c r="B18" s="169">
        <f>'General Info'!C18</f>
        <v>20712</v>
      </c>
      <c r="C18" s="44">
        <v>0</v>
      </c>
      <c r="D18" s="44">
        <v>0</v>
      </c>
      <c r="E18" s="44">
        <v>0</v>
      </c>
      <c r="F18" s="44">
        <v>0</v>
      </c>
      <c r="G18" s="44">
        <f t="shared" si="1"/>
        <v>0</v>
      </c>
      <c r="H18" s="44">
        <v>0</v>
      </c>
    </row>
    <row r="19" spans="1:8" ht="15" x14ac:dyDescent="0.2">
      <c r="A19" s="1" t="s">
        <v>11</v>
      </c>
      <c r="B19" s="4">
        <f>'General Info'!C19</f>
        <v>20660</v>
      </c>
      <c r="C19" s="19">
        <v>0</v>
      </c>
      <c r="D19" s="19">
        <v>0</v>
      </c>
      <c r="E19" s="19">
        <v>0</v>
      </c>
      <c r="F19" s="19">
        <v>0</v>
      </c>
      <c r="G19" s="19">
        <f t="shared" si="1"/>
        <v>0</v>
      </c>
      <c r="H19" s="19">
        <v>0</v>
      </c>
    </row>
    <row r="20" spans="1:8" ht="15" x14ac:dyDescent="0.2">
      <c r="A20" s="39" t="s">
        <v>3</v>
      </c>
      <c r="B20" s="169">
        <f>'General Info'!C20</f>
        <v>14542</v>
      </c>
      <c r="C20" s="44">
        <v>0</v>
      </c>
      <c r="D20" s="44">
        <v>0</v>
      </c>
      <c r="E20" s="44">
        <v>0</v>
      </c>
      <c r="F20" s="44">
        <v>0</v>
      </c>
      <c r="G20" s="44">
        <f t="shared" si="1"/>
        <v>0</v>
      </c>
      <c r="H20" s="44">
        <v>0</v>
      </c>
    </row>
    <row r="21" spans="1:8" ht="15" x14ac:dyDescent="0.2">
      <c r="A21" s="1" t="s">
        <v>4</v>
      </c>
      <c r="B21" s="4">
        <f>'General Info'!C21</f>
        <v>13786</v>
      </c>
      <c r="C21" s="19">
        <v>0</v>
      </c>
      <c r="D21" s="19">
        <v>0</v>
      </c>
      <c r="E21" s="19">
        <v>0</v>
      </c>
      <c r="F21" s="19">
        <v>0</v>
      </c>
      <c r="G21" s="19">
        <f t="shared" si="1"/>
        <v>0</v>
      </c>
      <c r="H21" s="19">
        <v>0</v>
      </c>
    </row>
    <row r="22" spans="1:8" ht="15" x14ac:dyDescent="0.2">
      <c r="A22" s="39" t="s">
        <v>7</v>
      </c>
      <c r="B22" s="169">
        <f>'General Info'!C22</f>
        <v>12562</v>
      </c>
      <c r="C22" s="44">
        <v>0</v>
      </c>
      <c r="D22" s="44">
        <v>0</v>
      </c>
      <c r="E22" s="44">
        <v>0</v>
      </c>
      <c r="F22" s="44">
        <v>0</v>
      </c>
      <c r="G22" s="44">
        <f t="shared" si="1"/>
        <v>0</v>
      </c>
      <c r="H22" s="44">
        <v>0</v>
      </c>
    </row>
    <row r="23" spans="1:8" ht="15" x14ac:dyDescent="0.2">
      <c r="A23" s="1" t="s">
        <v>1</v>
      </c>
      <c r="B23" s="4">
        <f>'General Info'!C23</f>
        <v>11855</v>
      </c>
      <c r="C23" s="19">
        <v>0</v>
      </c>
      <c r="D23" s="19">
        <v>0</v>
      </c>
      <c r="E23" s="19">
        <v>0</v>
      </c>
      <c r="F23" s="19">
        <v>0</v>
      </c>
      <c r="G23" s="19">
        <f t="shared" si="1"/>
        <v>0</v>
      </c>
      <c r="H23" s="19">
        <v>0</v>
      </c>
    </row>
    <row r="24" spans="1:8" ht="15" x14ac:dyDescent="0.2">
      <c r="A24" s="176"/>
      <c r="B24" s="4"/>
      <c r="C24" s="182"/>
      <c r="D24" s="182"/>
      <c r="E24" s="182"/>
      <c r="F24" s="182"/>
      <c r="G24" s="182"/>
      <c r="H24" s="182"/>
    </row>
    <row r="25" spans="1:8" ht="15" x14ac:dyDescent="0.2">
      <c r="A25" s="151" t="s">
        <v>69</v>
      </c>
      <c r="B25" s="10"/>
      <c r="C25" s="20"/>
      <c r="D25" s="20"/>
      <c r="E25" s="20"/>
      <c r="F25" s="20"/>
      <c r="G25" s="20"/>
      <c r="H25" s="20"/>
    </row>
    <row r="26" spans="1:8" s="193" customFormat="1" ht="15" x14ac:dyDescent="0.25">
      <c r="A26" s="184" t="s">
        <v>17</v>
      </c>
      <c r="B26" s="169">
        <f>'General Info'!C26</f>
        <v>8763</v>
      </c>
      <c r="C26" s="191">
        <v>0</v>
      </c>
      <c r="D26" s="191">
        <v>0</v>
      </c>
      <c r="E26" s="191">
        <v>0</v>
      </c>
      <c r="F26" s="191">
        <v>0</v>
      </c>
      <c r="G26" s="44">
        <f t="shared" ref="G26:G33" si="2">SUM(C26:F26)</f>
        <v>0</v>
      </c>
      <c r="H26" s="191">
        <v>0</v>
      </c>
    </row>
    <row r="27" spans="1:8" ht="15" x14ac:dyDescent="0.2">
      <c r="A27" s="1" t="s">
        <v>15</v>
      </c>
      <c r="B27" s="4">
        <f>'General Info'!C27</f>
        <v>8645</v>
      </c>
      <c r="C27" s="19">
        <v>0</v>
      </c>
      <c r="D27" s="19">
        <v>0</v>
      </c>
      <c r="E27" s="19">
        <v>0</v>
      </c>
      <c r="F27" s="19">
        <v>0</v>
      </c>
      <c r="G27" s="19">
        <f t="shared" si="2"/>
        <v>0</v>
      </c>
      <c r="H27" s="19">
        <v>4780</v>
      </c>
    </row>
    <row r="28" spans="1:8" ht="15" x14ac:dyDescent="0.2">
      <c r="A28" s="39" t="s">
        <v>9</v>
      </c>
      <c r="B28" s="169">
        <f>'General Info'!C28</f>
        <v>8730</v>
      </c>
      <c r="C28" s="44">
        <v>0</v>
      </c>
      <c r="D28" s="44">
        <v>0</v>
      </c>
      <c r="E28" s="44">
        <v>0</v>
      </c>
      <c r="F28" s="44">
        <v>0</v>
      </c>
      <c r="G28" s="44">
        <f t="shared" si="2"/>
        <v>0</v>
      </c>
      <c r="H28" s="44">
        <v>0</v>
      </c>
    </row>
    <row r="29" spans="1:8" ht="15" x14ac:dyDescent="0.2">
      <c r="A29" s="1" t="s">
        <v>21</v>
      </c>
      <c r="B29" s="4">
        <f>'General Info'!C29</f>
        <v>7719</v>
      </c>
      <c r="C29" s="19">
        <v>0</v>
      </c>
      <c r="D29" s="19">
        <v>0</v>
      </c>
      <c r="E29" s="19">
        <v>0</v>
      </c>
      <c r="F29" s="19">
        <v>0</v>
      </c>
      <c r="G29" s="19">
        <f t="shared" si="2"/>
        <v>0</v>
      </c>
      <c r="H29" s="19">
        <v>0</v>
      </c>
    </row>
    <row r="30" spans="1:8" ht="15" x14ac:dyDescent="0.2">
      <c r="A30" s="39" t="s">
        <v>5</v>
      </c>
      <c r="B30" s="169">
        <f>'General Info'!C30</f>
        <v>7448</v>
      </c>
      <c r="C30" s="44">
        <v>0</v>
      </c>
      <c r="D30" s="44">
        <v>0</v>
      </c>
      <c r="E30" s="44">
        <v>0</v>
      </c>
      <c r="F30" s="44">
        <v>0</v>
      </c>
      <c r="G30" s="44">
        <f t="shared" si="2"/>
        <v>0</v>
      </c>
      <c r="H30" s="44">
        <v>0</v>
      </c>
    </row>
    <row r="31" spans="1:8" ht="15" x14ac:dyDescent="0.2">
      <c r="A31" s="1" t="s">
        <v>22</v>
      </c>
      <c r="B31" s="4">
        <f>'General Info'!C31</f>
        <v>6860</v>
      </c>
      <c r="C31" s="19">
        <v>0</v>
      </c>
      <c r="D31" s="19">
        <v>0</v>
      </c>
      <c r="E31" s="19">
        <v>0</v>
      </c>
      <c r="F31" s="19">
        <v>0</v>
      </c>
      <c r="G31" s="19">
        <f t="shared" si="2"/>
        <v>0</v>
      </c>
      <c r="H31" s="19">
        <v>0</v>
      </c>
    </row>
    <row r="32" spans="1:8" ht="15" x14ac:dyDescent="0.2">
      <c r="A32" s="39" t="s">
        <v>8</v>
      </c>
      <c r="B32" s="169">
        <f>'General Info'!C32</f>
        <v>4588</v>
      </c>
      <c r="C32" s="44">
        <v>0</v>
      </c>
      <c r="D32" s="44">
        <v>0</v>
      </c>
      <c r="E32" s="44">
        <v>0</v>
      </c>
      <c r="F32" s="44">
        <v>0</v>
      </c>
      <c r="G32" s="44">
        <f t="shared" si="2"/>
        <v>0</v>
      </c>
      <c r="H32" s="44">
        <v>0</v>
      </c>
    </row>
    <row r="33" spans="1:8" ht="15" x14ac:dyDescent="0.2">
      <c r="A33" s="1" t="s">
        <v>13</v>
      </c>
      <c r="B33" s="4">
        <f>'General Info'!C33</f>
        <v>2380</v>
      </c>
      <c r="C33" s="19">
        <v>2400</v>
      </c>
      <c r="D33" s="19">
        <v>0</v>
      </c>
      <c r="E33" s="19">
        <v>0</v>
      </c>
      <c r="F33" s="19">
        <v>0</v>
      </c>
      <c r="G33" s="19">
        <f t="shared" si="2"/>
        <v>2400</v>
      </c>
      <c r="H33" s="19">
        <v>2400</v>
      </c>
    </row>
    <row r="34" spans="1:8" x14ac:dyDescent="0.2">
      <c r="B34" s="4"/>
      <c r="C34" s="19"/>
      <c r="D34" s="19"/>
      <c r="E34" s="19"/>
      <c r="F34" s="19"/>
      <c r="G34" s="19"/>
      <c r="H34" s="19"/>
    </row>
    <row r="35" spans="1:8" ht="15" x14ac:dyDescent="0.25">
      <c r="A35" s="6" t="s">
        <v>71</v>
      </c>
      <c r="B35" s="15">
        <f>'General Info'!C35</f>
        <v>581381</v>
      </c>
      <c r="C35" s="21">
        <f t="shared" ref="C35:H35" si="3">SUM(C5:C33)</f>
        <v>222700</v>
      </c>
      <c r="D35" s="21">
        <f t="shared" si="3"/>
        <v>0</v>
      </c>
      <c r="E35" s="21">
        <f t="shared" si="3"/>
        <v>0</v>
      </c>
      <c r="F35" s="21">
        <f t="shared" si="3"/>
        <v>0</v>
      </c>
      <c r="G35" s="21">
        <f t="shared" si="3"/>
        <v>222700</v>
      </c>
      <c r="H35" s="21">
        <f t="shared" si="3"/>
        <v>307753</v>
      </c>
    </row>
  </sheetData>
  <mergeCells count="1">
    <mergeCell ref="A1:H1"/>
  </mergeCells>
  <pageMargins left="0.25" right="0.25" top="0.75" bottom="0.75" header="0.3" footer="0.3"/>
  <pageSetup paperSize="5" scale="9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J38"/>
  <sheetViews>
    <sheetView zoomScale="90" zoomScaleNormal="90" workbookViewId="0">
      <selection activeCell="B5" sqref="B5"/>
    </sheetView>
  </sheetViews>
  <sheetFormatPr defaultRowHeight="12.75" x14ac:dyDescent="0.2"/>
  <cols>
    <col min="1" max="1" width="37.140625" customWidth="1"/>
    <col min="2" max="2" width="10.7109375" customWidth="1"/>
    <col min="3" max="3" width="11.5703125" customWidth="1"/>
    <col min="4" max="4" width="14" style="54" customWidth="1"/>
    <col min="5" max="5" width="11.28515625" customWidth="1"/>
    <col min="6" max="6" width="9.85546875" bestFit="1" customWidth="1"/>
    <col min="7" max="7" width="9.140625" style="86"/>
    <col min="8" max="8" width="11" customWidth="1"/>
    <col min="9" max="9" width="10.5703125" style="16" customWidth="1"/>
    <col min="10" max="10" width="10.5703125" style="2" customWidth="1"/>
  </cols>
  <sheetData>
    <row r="1" spans="1:10" s="26" customFormat="1" x14ac:dyDescent="0.2">
      <c r="A1" s="277" t="s">
        <v>524</v>
      </c>
      <c r="B1" s="278"/>
      <c r="C1" s="278"/>
      <c r="D1" s="278"/>
      <c r="E1" s="278"/>
      <c r="F1" s="278"/>
      <c r="G1" s="278"/>
      <c r="H1" s="278"/>
      <c r="I1" s="278"/>
      <c r="J1" s="279"/>
    </row>
    <row r="2" spans="1:10" s="26" customFormat="1" ht="38.25" x14ac:dyDescent="0.2">
      <c r="A2" s="67"/>
      <c r="B2" s="34" t="s">
        <v>135</v>
      </c>
      <c r="C2" s="82" t="s">
        <v>182</v>
      </c>
      <c r="D2" s="83" t="s">
        <v>189</v>
      </c>
      <c r="E2" s="82" t="s">
        <v>183</v>
      </c>
      <c r="F2" s="82" t="s">
        <v>184</v>
      </c>
      <c r="G2" s="84" t="s">
        <v>185</v>
      </c>
      <c r="H2" s="82" t="s">
        <v>186</v>
      </c>
      <c r="I2" s="85" t="s">
        <v>187</v>
      </c>
      <c r="J2" s="85" t="s">
        <v>188</v>
      </c>
    </row>
    <row r="3" spans="1:10" x14ac:dyDescent="0.2">
      <c r="C3" s="4"/>
      <c r="E3" s="4"/>
      <c r="F3" s="4"/>
      <c r="H3" s="4"/>
      <c r="J3" s="13"/>
    </row>
    <row r="4" spans="1:10" x14ac:dyDescent="0.2">
      <c r="A4" s="5" t="s">
        <v>70</v>
      </c>
      <c r="B4" s="14"/>
      <c r="C4" s="10"/>
      <c r="D4" s="57"/>
      <c r="E4" s="10"/>
      <c r="F4" s="10"/>
      <c r="G4" s="87"/>
      <c r="H4" s="10"/>
      <c r="J4" s="14"/>
    </row>
    <row r="5" spans="1:10" ht="15" x14ac:dyDescent="0.2">
      <c r="A5" s="1" t="s">
        <v>10</v>
      </c>
      <c r="B5" s="4">
        <f>'General Info'!C5</f>
        <v>100723</v>
      </c>
      <c r="C5" s="4">
        <v>65013</v>
      </c>
      <c r="D5" s="54">
        <f>SUM(C5/B5)</f>
        <v>0.64546330033855226</v>
      </c>
      <c r="E5" s="4">
        <v>6556</v>
      </c>
      <c r="F5" s="4">
        <v>305460</v>
      </c>
      <c r="G5" s="86">
        <f>SUM(F5/B5)</f>
        <v>3.0326737686526415</v>
      </c>
      <c r="H5" s="4">
        <v>5312</v>
      </c>
      <c r="I5" s="53">
        <f>SUM(H5/B5)</f>
        <v>5.2738699204749662E-2</v>
      </c>
      <c r="J5" s="13">
        <v>1796</v>
      </c>
    </row>
    <row r="6" spans="1:10" ht="15" x14ac:dyDescent="0.2">
      <c r="A6" s="39" t="s">
        <v>12</v>
      </c>
      <c r="B6" s="169">
        <f>'General Info'!C6</f>
        <v>79601</v>
      </c>
      <c r="C6" s="41">
        <v>25089</v>
      </c>
      <c r="D6" s="56">
        <f>SUM(C6/B6)</f>
        <v>0.31518448260700244</v>
      </c>
      <c r="E6" s="41">
        <v>4880</v>
      </c>
      <c r="F6" s="41">
        <v>314811</v>
      </c>
      <c r="G6" s="88">
        <f>SUM(F6/B6)</f>
        <v>3.9548623761008028</v>
      </c>
      <c r="H6" s="41">
        <v>24072</v>
      </c>
      <c r="I6" s="42">
        <f>SUM(H6/B6)</f>
        <v>0.30240826120274872</v>
      </c>
      <c r="J6" s="45">
        <v>89</v>
      </c>
    </row>
    <row r="7" spans="1:10" ht="15" x14ac:dyDescent="0.2">
      <c r="A7" s="1"/>
      <c r="B7" s="4"/>
      <c r="C7" s="4"/>
      <c r="E7" s="4"/>
      <c r="F7" s="4"/>
      <c r="H7" s="4"/>
      <c r="J7" s="13"/>
    </row>
    <row r="8" spans="1:10" x14ac:dyDescent="0.2">
      <c r="A8" s="5" t="s">
        <v>67</v>
      </c>
      <c r="B8" s="4"/>
      <c r="C8" s="10"/>
      <c r="D8" s="57"/>
      <c r="E8" s="10"/>
      <c r="F8" s="10"/>
      <c r="G8" s="87"/>
      <c r="H8" s="10"/>
      <c r="I8" s="17"/>
      <c r="J8" s="14"/>
    </row>
    <row r="9" spans="1:10" ht="15" x14ac:dyDescent="0.2">
      <c r="A9" s="1" t="s">
        <v>2</v>
      </c>
      <c r="B9" s="233">
        <f>'General Info'!C9</f>
        <v>47058</v>
      </c>
      <c r="C9" s="4">
        <v>16819</v>
      </c>
      <c r="D9" s="54">
        <f t="shared" ref="D9:D14" si="0">SUM(C9/B9)</f>
        <v>0.35741000467508183</v>
      </c>
      <c r="E9" s="4">
        <v>5578</v>
      </c>
      <c r="F9" s="4">
        <v>169113</v>
      </c>
      <c r="G9" s="86">
        <f t="shared" ref="G9:G14" si="1">SUM(F9/B9)</f>
        <v>3.5937141399974499</v>
      </c>
      <c r="H9" s="4">
        <v>187001</v>
      </c>
      <c r="I9" s="16">
        <f t="shared" ref="I9:I14" si="2">SUM(H9/B9)</f>
        <v>3.9738407922138639</v>
      </c>
      <c r="J9" s="13">
        <v>986</v>
      </c>
    </row>
    <row r="10" spans="1:10" ht="15" x14ac:dyDescent="0.2">
      <c r="A10" s="39" t="s">
        <v>491</v>
      </c>
      <c r="B10" s="169">
        <f>'General Info'!C10</f>
        <v>41345</v>
      </c>
      <c r="C10" s="41">
        <v>32807</v>
      </c>
      <c r="D10" s="56">
        <f t="shared" si="0"/>
        <v>0.79349377191921633</v>
      </c>
      <c r="E10" s="41">
        <v>12360</v>
      </c>
      <c r="F10" s="253" t="s">
        <v>531</v>
      </c>
      <c r="G10" s="254" t="s">
        <v>531</v>
      </c>
      <c r="H10" s="253" t="s">
        <v>531</v>
      </c>
      <c r="I10" s="255" t="s">
        <v>531</v>
      </c>
      <c r="J10" s="45">
        <v>1410</v>
      </c>
    </row>
    <row r="11" spans="1:10" ht="15" x14ac:dyDescent="0.2">
      <c r="A11" s="1" t="s">
        <v>6</v>
      </c>
      <c r="B11" s="4">
        <f>'General Info'!C11</f>
        <v>39472</v>
      </c>
      <c r="C11" s="4">
        <v>22115</v>
      </c>
      <c r="D11" s="54">
        <f t="shared" si="0"/>
        <v>0.56027057154438586</v>
      </c>
      <c r="E11" s="4">
        <v>4672</v>
      </c>
      <c r="F11" s="4">
        <v>156151</v>
      </c>
      <c r="G11" s="86">
        <f t="shared" si="1"/>
        <v>3.9559941224158899</v>
      </c>
      <c r="H11" s="4">
        <v>32796</v>
      </c>
      <c r="I11" s="16">
        <f t="shared" si="2"/>
        <v>0.83086745034454801</v>
      </c>
      <c r="J11" s="13">
        <v>1549</v>
      </c>
    </row>
    <row r="12" spans="1:10" ht="15" x14ac:dyDescent="0.2">
      <c r="A12" s="39" t="s">
        <v>500</v>
      </c>
      <c r="B12" s="169">
        <f>'General Info'!C12</f>
        <v>38031</v>
      </c>
      <c r="C12" s="41">
        <v>15315</v>
      </c>
      <c r="D12" s="56">
        <f t="shared" si="0"/>
        <v>0.40269779916384002</v>
      </c>
      <c r="E12" s="41">
        <v>4078</v>
      </c>
      <c r="F12" s="41">
        <v>79170</v>
      </c>
      <c r="G12" s="88">
        <f t="shared" si="1"/>
        <v>2.0817228050800662</v>
      </c>
      <c r="H12" s="41">
        <v>3201</v>
      </c>
      <c r="I12" s="42">
        <f t="shared" si="2"/>
        <v>8.416817859114932E-2</v>
      </c>
      <c r="J12" s="45">
        <v>350</v>
      </c>
    </row>
    <row r="13" spans="1:10" ht="15" x14ac:dyDescent="0.2">
      <c r="A13" s="1" t="s">
        <v>16</v>
      </c>
      <c r="B13" s="4">
        <f>'General Info'!C13</f>
        <v>32096</v>
      </c>
      <c r="C13" s="4">
        <v>11847</v>
      </c>
      <c r="D13" s="54">
        <f t="shared" si="0"/>
        <v>0.36911141575274176</v>
      </c>
      <c r="E13" s="4">
        <v>7384</v>
      </c>
      <c r="F13" s="4">
        <v>112849</v>
      </c>
      <c r="G13" s="86">
        <f t="shared" si="1"/>
        <v>3.5159833000997009</v>
      </c>
      <c r="H13" s="4">
        <v>21646</v>
      </c>
      <c r="I13" s="16">
        <f t="shared" si="2"/>
        <v>0.67441425722831505</v>
      </c>
      <c r="J13" s="13">
        <v>1207</v>
      </c>
    </row>
    <row r="14" spans="1:10" ht="15" x14ac:dyDescent="0.2">
      <c r="A14" s="39" t="s">
        <v>14</v>
      </c>
      <c r="B14" s="169">
        <f>'General Info'!C14</f>
        <v>30518</v>
      </c>
      <c r="C14" s="41">
        <v>16306</v>
      </c>
      <c r="D14" s="56">
        <f t="shared" si="0"/>
        <v>0.5343076217314372</v>
      </c>
      <c r="E14" s="41">
        <v>7457</v>
      </c>
      <c r="F14" s="41">
        <v>189289</v>
      </c>
      <c r="G14" s="88">
        <f t="shared" si="1"/>
        <v>6.2025362081394588</v>
      </c>
      <c r="H14" s="41">
        <v>1100</v>
      </c>
      <c r="I14" s="42">
        <f t="shared" si="2"/>
        <v>3.6044301723572973E-2</v>
      </c>
      <c r="J14" s="45">
        <v>2388</v>
      </c>
    </row>
    <row r="15" spans="1:10" ht="15" x14ac:dyDescent="0.2">
      <c r="A15" s="1"/>
      <c r="B15" s="4"/>
      <c r="C15" s="4"/>
      <c r="E15" s="4"/>
      <c r="F15" s="4"/>
      <c r="H15" s="4"/>
      <c r="J15" s="13"/>
    </row>
    <row r="16" spans="1:10" x14ac:dyDescent="0.2">
      <c r="A16" s="5" t="s">
        <v>68</v>
      </c>
      <c r="B16" s="4"/>
      <c r="C16" s="10"/>
      <c r="D16" s="57"/>
      <c r="E16" s="10"/>
      <c r="F16" s="10"/>
      <c r="G16" s="87"/>
      <c r="H16" s="10"/>
      <c r="I16" s="17"/>
      <c r="J16" s="14"/>
    </row>
    <row r="17" spans="1:10" ht="15" x14ac:dyDescent="0.2">
      <c r="A17" s="1" t="s">
        <v>19</v>
      </c>
      <c r="B17" s="233">
        <f>'General Info'!C17</f>
        <v>23287</v>
      </c>
      <c r="C17" s="4">
        <v>10919</v>
      </c>
      <c r="D17" s="54">
        <f t="shared" ref="D17:D23" si="3">SUM(C17/B17)</f>
        <v>0.46888822089577875</v>
      </c>
      <c r="E17" s="4">
        <v>4514</v>
      </c>
      <c r="F17" s="4">
        <v>171620</v>
      </c>
      <c r="G17" s="86">
        <f t="shared" ref="G17:G23" si="4">SUM(F17/B17)</f>
        <v>7.3697771288701848</v>
      </c>
      <c r="H17" s="4">
        <v>14657</v>
      </c>
      <c r="I17" s="16">
        <f t="shared" ref="I17:I23" si="5">SUM(H17/B17)</f>
        <v>0.62940696525958695</v>
      </c>
      <c r="J17" s="13">
        <v>731</v>
      </c>
    </row>
    <row r="18" spans="1:10" ht="15" x14ac:dyDescent="0.2">
      <c r="A18" s="39" t="s">
        <v>20</v>
      </c>
      <c r="B18" s="169">
        <f>'General Info'!C18</f>
        <v>20712</v>
      </c>
      <c r="C18" s="41">
        <v>11410</v>
      </c>
      <c r="D18" s="156">
        <f t="shared" si="3"/>
        <v>0.5508883738895326</v>
      </c>
      <c r="E18" s="41">
        <v>4022</v>
      </c>
      <c r="F18" s="41">
        <v>81108</v>
      </c>
      <c r="G18" s="88">
        <f t="shared" si="4"/>
        <v>3.9159907300115875</v>
      </c>
      <c r="H18" s="41">
        <v>32946</v>
      </c>
      <c r="I18" s="42">
        <f t="shared" si="5"/>
        <v>1.5906720741599072</v>
      </c>
      <c r="J18" s="45">
        <v>918</v>
      </c>
    </row>
    <row r="19" spans="1:10" ht="15" x14ac:dyDescent="0.2">
      <c r="A19" s="1" t="s">
        <v>11</v>
      </c>
      <c r="B19" s="4">
        <f>'General Info'!C19</f>
        <v>20660</v>
      </c>
      <c r="C19" s="4">
        <v>12495</v>
      </c>
      <c r="D19" s="54">
        <f t="shared" si="3"/>
        <v>0.60479186834462728</v>
      </c>
      <c r="E19" s="4">
        <v>14404</v>
      </c>
      <c r="F19" s="4">
        <v>117561</v>
      </c>
      <c r="G19" s="86">
        <f t="shared" si="4"/>
        <v>5.6902710551790898</v>
      </c>
      <c r="H19" s="4">
        <v>9166</v>
      </c>
      <c r="I19" s="16">
        <f t="shared" si="5"/>
        <v>0.44365924491771541</v>
      </c>
      <c r="J19" s="13">
        <v>284</v>
      </c>
    </row>
    <row r="20" spans="1:10" ht="15" x14ac:dyDescent="0.2">
      <c r="A20" s="39" t="s">
        <v>3</v>
      </c>
      <c r="B20" s="169">
        <f>'General Info'!C20</f>
        <v>14542</v>
      </c>
      <c r="C20" s="41">
        <v>5513</v>
      </c>
      <c r="D20" s="156">
        <f t="shared" si="3"/>
        <v>0.37910878833723011</v>
      </c>
      <c r="E20" s="41">
        <v>7696</v>
      </c>
      <c r="F20" s="41">
        <v>46972</v>
      </c>
      <c r="G20" s="88">
        <f t="shared" si="4"/>
        <v>3.2300921468848851</v>
      </c>
      <c r="H20" s="41">
        <v>606</v>
      </c>
      <c r="I20" s="42">
        <f t="shared" si="5"/>
        <v>4.1672397194333653E-2</v>
      </c>
      <c r="J20" s="45">
        <v>1034</v>
      </c>
    </row>
    <row r="21" spans="1:10" ht="15" x14ac:dyDescent="0.2">
      <c r="A21" s="1" t="s">
        <v>4</v>
      </c>
      <c r="B21" s="4">
        <f>'General Info'!C21</f>
        <v>13786</v>
      </c>
      <c r="C21" s="4">
        <v>8412</v>
      </c>
      <c r="D21" s="54">
        <f t="shared" si="3"/>
        <v>0.61018424488611633</v>
      </c>
      <c r="E21" s="4">
        <v>5512</v>
      </c>
      <c r="F21" s="4">
        <v>62750</v>
      </c>
      <c r="G21" s="86">
        <f t="shared" si="4"/>
        <v>4.5517191353547073</v>
      </c>
      <c r="H21" s="256" t="s">
        <v>531</v>
      </c>
      <c r="I21" s="257" t="s">
        <v>531</v>
      </c>
      <c r="J21" s="13">
        <v>490</v>
      </c>
    </row>
    <row r="22" spans="1:10" ht="15" x14ac:dyDescent="0.2">
      <c r="A22" s="39" t="s">
        <v>7</v>
      </c>
      <c r="B22" s="169">
        <f>'General Info'!C22</f>
        <v>12562</v>
      </c>
      <c r="C22" s="41">
        <v>4761</v>
      </c>
      <c r="D22" s="156">
        <f t="shared" si="3"/>
        <v>0.37900015921031682</v>
      </c>
      <c r="E22" s="41">
        <v>2093</v>
      </c>
      <c r="F22" s="41">
        <v>40982</v>
      </c>
      <c r="G22" s="88">
        <f t="shared" si="4"/>
        <v>3.2623786021334182</v>
      </c>
      <c r="H22" s="41">
        <v>1241</v>
      </c>
      <c r="I22" s="42">
        <f t="shared" si="5"/>
        <v>9.8790001592103174E-2</v>
      </c>
      <c r="J22" s="45">
        <v>115</v>
      </c>
    </row>
    <row r="23" spans="1:10" ht="15" x14ac:dyDescent="0.2">
      <c r="A23" s="1" t="s">
        <v>1</v>
      </c>
      <c r="B23" s="4">
        <f>'General Info'!C23</f>
        <v>11855</v>
      </c>
      <c r="C23" s="4">
        <v>7072</v>
      </c>
      <c r="D23" s="54">
        <f t="shared" si="3"/>
        <v>0.59654154365246737</v>
      </c>
      <c r="E23" s="4">
        <v>5485</v>
      </c>
      <c r="F23" s="4">
        <v>44245</v>
      </c>
      <c r="G23" s="86">
        <f t="shared" si="4"/>
        <v>3.7321805145508224</v>
      </c>
      <c r="H23" s="4">
        <v>4040</v>
      </c>
      <c r="I23" s="16">
        <f t="shared" si="5"/>
        <v>0.34078447912273302</v>
      </c>
      <c r="J23" s="13">
        <v>253</v>
      </c>
    </row>
    <row r="24" spans="1:10" ht="15" x14ac:dyDescent="0.2">
      <c r="A24" s="176"/>
      <c r="B24" s="4"/>
      <c r="C24" s="93"/>
      <c r="D24" s="178"/>
      <c r="E24" s="93"/>
      <c r="F24" s="93"/>
      <c r="G24" s="192"/>
      <c r="H24" s="93"/>
      <c r="I24" s="177"/>
      <c r="J24" s="200"/>
    </row>
    <row r="25" spans="1:10" ht="15" x14ac:dyDescent="0.2">
      <c r="A25" s="151" t="s">
        <v>69</v>
      </c>
      <c r="B25" s="4"/>
      <c r="C25" s="10"/>
      <c r="D25" s="57"/>
      <c r="E25" s="10"/>
      <c r="F25" s="10"/>
      <c r="G25" s="87"/>
      <c r="H25" s="10"/>
      <c r="I25" s="17"/>
      <c r="J25" s="14"/>
    </row>
    <row r="26" spans="1:10" s="193" customFormat="1" ht="15" x14ac:dyDescent="0.25">
      <c r="A26" s="184" t="s">
        <v>17</v>
      </c>
      <c r="B26" s="232">
        <f>'General Info'!C26</f>
        <v>8763</v>
      </c>
      <c r="C26" s="45">
        <v>4933</v>
      </c>
      <c r="D26" s="194">
        <f t="shared" ref="D26:D33" si="6">SUM(C26/B26)</f>
        <v>0.56293506789912129</v>
      </c>
      <c r="E26" s="45">
        <v>5278</v>
      </c>
      <c r="F26" s="45">
        <v>106505</v>
      </c>
      <c r="G26" s="195">
        <f t="shared" ref="G26:G33" si="7">SUM(F26/B26)</f>
        <v>12.153942713682529</v>
      </c>
      <c r="H26" s="45">
        <v>14651</v>
      </c>
      <c r="I26" s="196">
        <f t="shared" ref="I26:I33" si="8">SUM(H26/B26)</f>
        <v>1.6719160104986877</v>
      </c>
      <c r="J26" s="45">
        <v>946</v>
      </c>
    </row>
    <row r="27" spans="1:10" ht="15" x14ac:dyDescent="0.2">
      <c r="A27" s="1" t="s">
        <v>15</v>
      </c>
      <c r="B27" s="4">
        <f>'General Info'!C27</f>
        <v>8645</v>
      </c>
      <c r="C27" s="4">
        <v>8298</v>
      </c>
      <c r="D27" s="54">
        <f t="shared" si="6"/>
        <v>0.95986119144013882</v>
      </c>
      <c r="E27" s="4">
        <v>5512</v>
      </c>
      <c r="F27" s="4">
        <v>13680</v>
      </c>
      <c r="G27" s="86">
        <f t="shared" si="7"/>
        <v>1.5824175824175823</v>
      </c>
      <c r="H27" s="4">
        <v>8880</v>
      </c>
      <c r="I27" s="16">
        <f t="shared" si="8"/>
        <v>1.0271833429728165</v>
      </c>
      <c r="J27" s="13">
        <v>525</v>
      </c>
    </row>
    <row r="28" spans="1:10" ht="15" x14ac:dyDescent="0.2">
      <c r="A28" s="39" t="s">
        <v>9</v>
      </c>
      <c r="B28" s="169">
        <f>'General Info'!C28</f>
        <v>8730</v>
      </c>
      <c r="C28" s="41">
        <v>4132</v>
      </c>
      <c r="D28" s="56">
        <f t="shared" si="6"/>
        <v>0.47331042382588773</v>
      </c>
      <c r="E28" s="41">
        <v>3342</v>
      </c>
      <c r="F28" s="41">
        <v>45643</v>
      </c>
      <c r="G28" s="88">
        <f t="shared" si="7"/>
        <v>5.2282932416953036</v>
      </c>
      <c r="H28" s="41">
        <v>7800</v>
      </c>
      <c r="I28" s="42">
        <f t="shared" si="8"/>
        <v>0.89347079037800692</v>
      </c>
      <c r="J28" s="45">
        <v>826</v>
      </c>
    </row>
    <row r="29" spans="1:10" ht="15" x14ac:dyDescent="0.2">
      <c r="A29" s="1" t="s">
        <v>21</v>
      </c>
      <c r="B29" s="4">
        <f>'General Info'!C29</f>
        <v>7719</v>
      </c>
      <c r="C29" s="4">
        <v>7155</v>
      </c>
      <c r="D29" s="54">
        <f t="shared" si="6"/>
        <v>0.92693354061406918</v>
      </c>
      <c r="E29" s="4">
        <v>4464</v>
      </c>
      <c r="F29" s="4">
        <v>47234</v>
      </c>
      <c r="G29" s="86">
        <f t="shared" si="7"/>
        <v>6.1191864231118016</v>
      </c>
      <c r="H29" s="4">
        <v>1623</v>
      </c>
      <c r="I29" s="16">
        <f t="shared" si="8"/>
        <v>0.2102603964244073</v>
      </c>
      <c r="J29" s="13">
        <v>125</v>
      </c>
    </row>
    <row r="30" spans="1:10" ht="15" x14ac:dyDescent="0.2">
      <c r="A30" s="39" t="s">
        <v>5</v>
      </c>
      <c r="B30" s="169">
        <f>'General Info'!C30</f>
        <v>7448</v>
      </c>
      <c r="C30" s="41">
        <v>2525</v>
      </c>
      <c r="D30" s="56">
        <f t="shared" si="6"/>
        <v>0.3390171858216971</v>
      </c>
      <c r="E30" s="41">
        <v>6000</v>
      </c>
      <c r="F30" s="41">
        <v>23042</v>
      </c>
      <c r="G30" s="88">
        <f t="shared" si="7"/>
        <v>3.093716433941998</v>
      </c>
      <c r="H30" s="41">
        <v>2220</v>
      </c>
      <c r="I30" s="42">
        <f t="shared" si="8"/>
        <v>0.29806659505907629</v>
      </c>
      <c r="J30" s="45">
        <v>754</v>
      </c>
    </row>
    <row r="31" spans="1:10" ht="15" x14ac:dyDescent="0.2">
      <c r="A31" s="1" t="s">
        <v>22</v>
      </c>
      <c r="B31" s="4">
        <f>'General Info'!C31</f>
        <v>6860</v>
      </c>
      <c r="C31" s="4">
        <v>5018</v>
      </c>
      <c r="D31" s="54">
        <f t="shared" si="6"/>
        <v>0.73148688046647226</v>
      </c>
      <c r="E31" s="4">
        <v>3510</v>
      </c>
      <c r="F31" s="4">
        <v>23815</v>
      </c>
      <c r="G31" s="86">
        <f t="shared" si="7"/>
        <v>3.4715743440233235</v>
      </c>
      <c r="H31" s="4">
        <v>2166</v>
      </c>
      <c r="I31" s="16">
        <f t="shared" si="8"/>
        <v>0.31574344023323614</v>
      </c>
      <c r="J31" s="13">
        <v>157</v>
      </c>
    </row>
    <row r="32" spans="1:10" ht="15" x14ac:dyDescent="0.2">
      <c r="A32" s="39" t="s">
        <v>8</v>
      </c>
      <c r="B32" s="169">
        <f>'General Info'!C32</f>
        <v>4588</v>
      </c>
      <c r="C32" s="41">
        <v>5741</v>
      </c>
      <c r="D32" s="56">
        <f t="shared" si="6"/>
        <v>1.2513077593722755</v>
      </c>
      <c r="E32" s="41">
        <v>2264</v>
      </c>
      <c r="F32" s="41">
        <v>8490</v>
      </c>
      <c r="G32" s="88">
        <f t="shared" si="7"/>
        <v>1.8504795117698343</v>
      </c>
      <c r="H32" s="41">
        <v>1698</v>
      </c>
      <c r="I32" s="42">
        <f t="shared" si="8"/>
        <v>0.37009590235396689</v>
      </c>
      <c r="J32" s="45">
        <v>347</v>
      </c>
    </row>
    <row r="33" spans="1:10" ht="15" x14ac:dyDescent="0.2">
      <c r="A33" s="1" t="s">
        <v>13</v>
      </c>
      <c r="B33" s="4">
        <f>'General Info'!C33</f>
        <v>2380</v>
      </c>
      <c r="C33" s="4">
        <v>1562</v>
      </c>
      <c r="D33" s="54">
        <f t="shared" si="6"/>
        <v>0.65630252100840336</v>
      </c>
      <c r="E33" s="4">
        <v>1954</v>
      </c>
      <c r="F33" s="4">
        <v>22438</v>
      </c>
      <c r="G33" s="86">
        <f t="shared" si="7"/>
        <v>9.427731092436975</v>
      </c>
      <c r="H33" s="4">
        <v>987</v>
      </c>
      <c r="I33" s="16">
        <f t="shared" si="8"/>
        <v>0.4147058823529412</v>
      </c>
      <c r="J33" s="13">
        <v>0</v>
      </c>
    </row>
    <row r="34" spans="1:10" x14ac:dyDescent="0.2">
      <c r="B34" s="4"/>
      <c r="C34" s="4"/>
      <c r="E34" s="4"/>
      <c r="F34" s="4"/>
      <c r="H34" s="4"/>
      <c r="J34" s="13"/>
    </row>
    <row r="35" spans="1:10" ht="15" x14ac:dyDescent="0.25">
      <c r="A35" s="6" t="s">
        <v>71</v>
      </c>
      <c r="B35" s="15">
        <f>'General Info'!C35</f>
        <v>581381</v>
      </c>
      <c r="C35" s="15">
        <f>SUM(C5:C33)</f>
        <v>305257</v>
      </c>
      <c r="D35" s="58">
        <f>SUM(C35/B35)</f>
        <v>0.52505499835735947</v>
      </c>
      <c r="E35" s="15">
        <f>SUM(E5:E33)</f>
        <v>129015</v>
      </c>
      <c r="F35" s="15">
        <f>SUM(F5:F33)</f>
        <v>2182928</v>
      </c>
      <c r="G35" s="89">
        <f>SUM(F35/B35)</f>
        <v>3.754728826707443</v>
      </c>
      <c r="H35" s="15">
        <f>SUM(H5:H33)</f>
        <v>377809</v>
      </c>
      <c r="I35" s="18">
        <f>SUM(H35/B35)</f>
        <v>0.64984751823675013</v>
      </c>
      <c r="J35" s="15">
        <f>SUM(J5:J33)</f>
        <v>17280</v>
      </c>
    </row>
    <row r="37" spans="1:10" x14ac:dyDescent="0.2">
      <c r="A37" s="2" t="s">
        <v>492</v>
      </c>
    </row>
    <row r="38" spans="1:10" x14ac:dyDescent="0.2">
      <c r="A38" s="2" t="s">
        <v>501</v>
      </c>
    </row>
  </sheetData>
  <mergeCells count="1">
    <mergeCell ref="A1:J1"/>
  </mergeCells>
  <pageMargins left="0.25" right="0.25" top="0.75" bottom="0.75" header="0.3" footer="0.3"/>
  <pageSetup paperSize="5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General Info</vt:lpstr>
      <vt:lpstr>Outlets</vt:lpstr>
      <vt:lpstr>Staffing</vt:lpstr>
      <vt:lpstr>Expenditures</vt:lpstr>
      <vt:lpstr>Staff Expenditures</vt:lpstr>
      <vt:lpstr>Materials Expenditures</vt:lpstr>
      <vt:lpstr>Library Income</vt:lpstr>
      <vt:lpstr>Capital</vt:lpstr>
      <vt:lpstr>Hours and Use</vt:lpstr>
      <vt:lpstr>Collections</vt:lpstr>
      <vt:lpstr>Downloadables</vt:lpstr>
      <vt:lpstr>Circulation</vt:lpstr>
      <vt:lpstr>Electronic Resources</vt:lpstr>
      <vt:lpstr>Programs</vt:lpstr>
      <vt:lpstr>5 yr Trends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Mark, Susan</dc:creator>
  <cp:lastModifiedBy>Otto, Jessica</cp:lastModifiedBy>
  <cp:lastPrinted>2023-10-12T17:17:20Z</cp:lastPrinted>
  <dcterms:created xsi:type="dcterms:W3CDTF">2015-03-17T17:12:25Z</dcterms:created>
  <dcterms:modified xsi:type="dcterms:W3CDTF">2025-01-24T23:17:57Z</dcterms:modified>
</cp:coreProperties>
</file>